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19320" windowHeight="9045" tabRatio="769"/>
  </bookViews>
  <sheets>
    <sheet name="Loan Eligible Calculation" sheetId="5" r:id="rId1"/>
  </sheets>
  <definedNames>
    <definedName name="_19_04_1987" comment="DD-MM-YYYY" localSheetId="0">'Loan Eligible Calculation'!$B$8</definedName>
    <definedName name="_19_04_1987" comment="DD-MM-YYYY">#REF!</definedName>
    <definedName name="_xlnm.Print_Area" localSheetId="0">'Loan Eligible Calculation'!$A$1:$P$76</definedName>
  </definedNames>
  <calcPr calcId="125725"/>
</workbook>
</file>

<file path=xl/calcChain.xml><?xml version="1.0" encoding="utf-8"?>
<calcChain xmlns="http://schemas.openxmlformats.org/spreadsheetml/2006/main">
  <c r="L12" i="5"/>
  <c r="N20"/>
  <c r="N23" s="1"/>
  <c r="J31"/>
  <c r="N63" s="1"/>
  <c r="L31"/>
  <c r="N60" s="1"/>
  <c r="N38"/>
  <c r="N57"/>
  <c r="L32" l="1"/>
  <c r="N39" s="1"/>
  <c r="N40" s="1"/>
  <c r="S14"/>
  <c r="AF19" s="1"/>
  <c r="AF20" l="1"/>
  <c r="AF18"/>
  <c r="AF17"/>
  <c r="AF15" l="1"/>
  <c r="AF5"/>
  <c r="AF4"/>
  <c r="AF3"/>
  <c r="Y20" l="1"/>
  <c r="Y14" l="1"/>
  <c r="Y16" l="1"/>
  <c r="J61" l="1"/>
  <c r="J55"/>
  <c r="Q54"/>
  <c r="S16" l="1"/>
  <c r="S15" s="1"/>
  <c r="AF10" l="1"/>
  <c r="S8"/>
  <c r="S7"/>
  <c r="S6"/>
  <c r="S11" l="1"/>
  <c r="S12" s="1"/>
  <c r="S17" s="1"/>
  <c r="S9"/>
  <c r="S20" s="1"/>
  <c r="K41" s="1"/>
  <c r="S10" l="1"/>
  <c r="B8" s="1"/>
  <c r="S18" l="1"/>
  <c r="R17"/>
  <c r="B9" l="1"/>
  <c r="AF6" s="1"/>
  <c r="H9"/>
  <c r="N42"/>
  <c r="K43" s="1"/>
  <c r="K46" s="1"/>
  <c r="AF14" l="1"/>
  <c r="N47"/>
  <c r="N51" s="1"/>
  <c r="K50"/>
  <c r="K44"/>
  <c r="Q45" l="1"/>
  <c r="Q49" s="1"/>
  <c r="Q50" s="1"/>
  <c r="Q51" s="1"/>
  <c r="N55"/>
  <c r="N58" s="1"/>
  <c r="N59"/>
  <c r="N56"/>
  <c r="N52"/>
  <c r="N53" s="1"/>
  <c r="N54" s="1"/>
  <c r="AF16" s="1"/>
  <c r="N61" l="1"/>
  <c r="N62" s="1"/>
  <c r="N64" s="1"/>
  <c r="AF21"/>
  <c r="O35" l="1"/>
  <c r="I35" s="1"/>
  <c r="I36"/>
  <c r="L36" s="1"/>
  <c r="I37"/>
  <c r="O37" s="1"/>
  <c r="O36" l="1"/>
  <c r="L37"/>
  <c r="L35"/>
</calcChain>
</file>

<file path=xl/sharedStrings.xml><?xml version="1.0" encoding="utf-8"?>
<sst xmlns="http://schemas.openxmlformats.org/spreadsheetml/2006/main" count="254" uniqueCount="226">
  <si>
    <t>Personal Details</t>
  </si>
  <si>
    <t>Applicant Information</t>
  </si>
  <si>
    <t>Occupation</t>
  </si>
  <si>
    <t>Telephone (Office)</t>
  </si>
  <si>
    <t>Telephone (House)</t>
  </si>
  <si>
    <t>Age</t>
  </si>
  <si>
    <t>Basic Salary</t>
  </si>
  <si>
    <t>Eligible Calculation</t>
  </si>
  <si>
    <t>Fixed Allowance</t>
  </si>
  <si>
    <t>Existing Deduction</t>
  </si>
  <si>
    <t>In-Transit</t>
  </si>
  <si>
    <t>Settlement Amount</t>
  </si>
  <si>
    <t>Total</t>
  </si>
  <si>
    <t>Tenure (Months)</t>
  </si>
  <si>
    <t>Tenure (Years)</t>
  </si>
  <si>
    <t>Total Max Loan Eligible</t>
  </si>
  <si>
    <t>Max Loan Eligible Calculation</t>
  </si>
  <si>
    <t>Yes</t>
  </si>
  <si>
    <t>No</t>
  </si>
  <si>
    <t>Note:</t>
  </si>
  <si>
    <t>Loan Calculation Applied by Customer</t>
  </si>
  <si>
    <t>Monthly Installment</t>
  </si>
  <si>
    <t>Telephone (Mobile)</t>
  </si>
  <si>
    <t>Applicant Name</t>
  </si>
  <si>
    <t>Net Financing Amount Before Settlement</t>
  </si>
  <si>
    <t>Net Financing Amount After Settlement</t>
  </si>
  <si>
    <t>Bank / Koperasi / Other FI</t>
  </si>
  <si>
    <t>Employment Details</t>
  </si>
  <si>
    <t>Age on Financing Maturity</t>
  </si>
  <si>
    <t>Yayasan Ihsan Rakyat</t>
  </si>
  <si>
    <t>Yayasan Dewan Perniagaan Melayu Perlis Bhd</t>
  </si>
  <si>
    <t>IC Number</t>
  </si>
  <si>
    <t>Employer Name</t>
  </si>
  <si>
    <t>Installment Amount</t>
  </si>
  <si>
    <t>Age of Retirement</t>
  </si>
  <si>
    <t>One Year before Age of Retirement</t>
  </si>
  <si>
    <t>Date</t>
  </si>
  <si>
    <t>Month</t>
  </si>
  <si>
    <t>Year</t>
  </si>
  <si>
    <t>Birthday</t>
  </si>
  <si>
    <t>Less:  Stamp Duty Charges</t>
  </si>
  <si>
    <t xml:space="preserve">           Admin Fee</t>
  </si>
  <si>
    <t xml:space="preserve">           Advance Installments</t>
  </si>
  <si>
    <t>Personal Financing Loan Calculator                           -</t>
  </si>
  <si>
    <t>Max Eligible Deduction</t>
  </si>
  <si>
    <t>Total Eligible Deduction</t>
  </si>
  <si>
    <t>Grand Total Eligible Deduction</t>
  </si>
  <si>
    <t>Less:  Settlement Amount</t>
  </si>
  <si>
    <t>+604</t>
  </si>
  <si>
    <t>+603</t>
  </si>
  <si>
    <t>+6086</t>
  </si>
  <si>
    <t>+6087</t>
  </si>
  <si>
    <t>+6088</t>
  </si>
  <si>
    <t>+6089</t>
  </si>
  <si>
    <t>+605</t>
  </si>
  <si>
    <t>+607</t>
  </si>
  <si>
    <t>+6082</t>
  </si>
  <si>
    <t>+606</t>
  </si>
  <si>
    <t>Tel (House)</t>
  </si>
  <si>
    <t>Tel (Mobile)</t>
  </si>
  <si>
    <t>+609</t>
  </si>
  <si>
    <t>+6083</t>
  </si>
  <si>
    <t>+6084</t>
  </si>
  <si>
    <t>+6085</t>
  </si>
  <si>
    <t>+6010</t>
  </si>
  <si>
    <t>+6011</t>
  </si>
  <si>
    <t>+6012</t>
  </si>
  <si>
    <t>+6013</t>
  </si>
  <si>
    <t>+6014</t>
  </si>
  <si>
    <t>+6015</t>
  </si>
  <si>
    <t>+6016</t>
  </si>
  <si>
    <t>+6017</t>
  </si>
  <si>
    <t>+6018</t>
  </si>
  <si>
    <t>+6019</t>
  </si>
  <si>
    <t>Profit Rate (%)</t>
  </si>
  <si>
    <t>Payout (%)</t>
  </si>
  <si>
    <t>Membership Fee (Only Applicable to 1st Time Customers of YYP)</t>
  </si>
  <si>
    <t xml:space="preserve">           Subscription Fee</t>
  </si>
  <si>
    <t>Max Tenure Eligible (Years)</t>
  </si>
  <si>
    <t>Today</t>
  </si>
  <si>
    <t>Gross Income</t>
  </si>
  <si>
    <t>Max Financing Amount Eligible</t>
  </si>
  <si>
    <t>Financing Amount</t>
  </si>
  <si>
    <t>Age Retired</t>
  </si>
  <si>
    <t>Interest</t>
  </si>
  <si>
    <t>Payout</t>
  </si>
  <si>
    <t>YIR</t>
  </si>
  <si>
    <t>Advance Ist</t>
  </si>
  <si>
    <t>Tenure Eligible (Years)</t>
  </si>
  <si>
    <t>Financing Amount Eligible</t>
  </si>
  <si>
    <t>By Customers</t>
  </si>
  <si>
    <t>MR:</t>
  </si>
  <si>
    <t>MR Code:</t>
  </si>
  <si>
    <t>Message to Credit Department:</t>
  </si>
  <si>
    <t>No existing products as at 28.02.2016. For future purposes</t>
  </si>
  <si>
    <t>Collection Fee 2.12%</t>
  </si>
  <si>
    <t xml:space="preserve">           Brokerage Fee</t>
  </si>
  <si>
    <t xml:space="preserve">           6% SST</t>
  </si>
  <si>
    <t>GU</t>
  </si>
  <si>
    <t>GV</t>
  </si>
  <si>
    <t>GW</t>
  </si>
  <si>
    <t>Marital Status</t>
  </si>
  <si>
    <t>Employer Sector</t>
  </si>
  <si>
    <t>Employment Status</t>
  </si>
  <si>
    <t>Married</t>
  </si>
  <si>
    <t>Single</t>
  </si>
  <si>
    <t>Divorced</t>
  </si>
  <si>
    <t>Widowed</t>
  </si>
  <si>
    <t>60 years from today</t>
  </si>
  <si>
    <t>AG</t>
  </si>
  <si>
    <t>GLC</t>
  </si>
  <si>
    <t>Jabatan</t>
  </si>
  <si>
    <t>Lembaga</t>
  </si>
  <si>
    <t>Majlis</t>
  </si>
  <si>
    <t>NGS</t>
  </si>
  <si>
    <t>Polis</t>
  </si>
  <si>
    <t>State</t>
  </si>
  <si>
    <t>University</t>
  </si>
  <si>
    <t>UPM/UiTM</t>
  </si>
  <si>
    <t>Ahli Bomba</t>
  </si>
  <si>
    <t>Attenden</t>
  </si>
  <si>
    <t>Doktor</t>
  </si>
  <si>
    <t>Guru</t>
  </si>
  <si>
    <t>Guru Besar</t>
  </si>
  <si>
    <t>Hakim</t>
  </si>
  <si>
    <t>Juruaudio</t>
  </si>
  <si>
    <t>Jurubahasa</t>
  </si>
  <si>
    <t>Jurugambar</t>
  </si>
  <si>
    <t>Jururawat</t>
  </si>
  <si>
    <t>Juruteknik</t>
  </si>
  <si>
    <t>Kerani</t>
  </si>
  <si>
    <t>Operator Mesin</t>
  </si>
  <si>
    <t>Pakar Perubatan</t>
  </si>
  <si>
    <t>Pegawai Tadbir</t>
  </si>
  <si>
    <t>Peguam</t>
  </si>
  <si>
    <t xml:space="preserve">Pekerja Am </t>
  </si>
  <si>
    <t>Pekerja Am Rendah</t>
  </si>
  <si>
    <t>Pemandu</t>
  </si>
  <si>
    <t>Pembantu Makmal</t>
  </si>
  <si>
    <t>Pembantu Perubatan</t>
  </si>
  <si>
    <t>Pembantu Tadbir</t>
  </si>
  <si>
    <t>Pengarah</t>
  </si>
  <si>
    <t>Pengawal</t>
  </si>
  <si>
    <t>Penguatkuasa</t>
  </si>
  <si>
    <t>Pengurus</t>
  </si>
  <si>
    <t>Pensyarah</t>
  </si>
  <si>
    <t>Pentadbir</t>
  </si>
  <si>
    <t>Penyelia</t>
  </si>
  <si>
    <t>Posmen</t>
  </si>
  <si>
    <t>Pustakawan</t>
  </si>
  <si>
    <t>Tentera</t>
  </si>
  <si>
    <t>Timbalan Pengurus</t>
  </si>
  <si>
    <t>Tukang Kebun</t>
  </si>
  <si>
    <t>Tukang Masak</t>
  </si>
  <si>
    <t>Warden</t>
  </si>
  <si>
    <t>Wartawan</t>
  </si>
  <si>
    <t>Permanent</t>
  </si>
  <si>
    <t>Contract</t>
  </si>
  <si>
    <t>Probation</t>
  </si>
  <si>
    <t>Temporary (Sabah/Sarawak)</t>
  </si>
  <si>
    <t>Employer sector</t>
  </si>
  <si>
    <t>CTOS Amount</t>
  </si>
  <si>
    <t>BPA/AG record</t>
  </si>
  <si>
    <t>Purpose of Loan</t>
  </si>
  <si>
    <t>First time borrower</t>
  </si>
  <si>
    <t>Refinancing</t>
  </si>
  <si>
    <t>Education level</t>
  </si>
  <si>
    <t>Fixed Asset owned</t>
  </si>
  <si>
    <t>Gender</t>
  </si>
  <si>
    <t>Debt Service Ratio</t>
  </si>
  <si>
    <t>Gross Salary</t>
  </si>
  <si>
    <t>Loan Amount</t>
  </si>
  <si>
    <t>Service Period</t>
  </si>
  <si>
    <t>Service period</t>
  </si>
  <si>
    <t>Employment status</t>
  </si>
  <si>
    <t>Relationship period</t>
  </si>
  <si>
    <t>Estimated eligible General product</t>
  </si>
  <si>
    <t>Estimated eligible HALO product</t>
  </si>
  <si>
    <t>Estimated eligible PRESS product</t>
  </si>
  <si>
    <t xml:space="preserve">   ≥95</t>
  </si>
  <si>
    <t>A+</t>
  </si>
  <si>
    <t xml:space="preserve">   81-94</t>
  </si>
  <si>
    <t>A</t>
  </si>
  <si>
    <t xml:space="preserve">   75-80</t>
  </si>
  <si>
    <t>B+</t>
  </si>
  <si>
    <t xml:space="preserve">   66-74</t>
  </si>
  <si>
    <t>B-</t>
  </si>
  <si>
    <t xml:space="preserve">   59-65</t>
  </si>
  <si>
    <t>C+</t>
  </si>
  <si>
    <t xml:space="preserve">   51-58</t>
  </si>
  <si>
    <t>C-</t>
  </si>
  <si>
    <t xml:space="preserve">   46-50</t>
  </si>
  <si>
    <t>D+</t>
  </si>
  <si>
    <t xml:space="preserve">   41-45</t>
  </si>
  <si>
    <t>D-</t>
  </si>
  <si>
    <t>36-40</t>
  </si>
  <si>
    <t>E+</t>
  </si>
  <si>
    <t>31-35</t>
  </si>
  <si>
    <t>E-</t>
  </si>
  <si>
    <t>16-30</t>
  </si>
  <si>
    <t>F+</t>
  </si>
  <si>
    <t>≤15</t>
  </si>
  <si>
    <t>F-</t>
  </si>
  <si>
    <t>General</t>
  </si>
  <si>
    <t>PRESS</t>
  </si>
  <si>
    <t>HALO</t>
  </si>
  <si>
    <t>YYP</t>
  </si>
  <si>
    <t>I4</t>
  </si>
  <si>
    <t>I1</t>
  </si>
  <si>
    <t>I3</t>
  </si>
  <si>
    <t>J1</t>
  </si>
  <si>
    <t>J3</t>
  </si>
  <si>
    <t>J4</t>
  </si>
  <si>
    <t>Date joined (dd-mm-yyyy)</t>
  </si>
  <si>
    <t>Birth Date (dd-mm-yyyy)</t>
  </si>
  <si>
    <t>years</t>
  </si>
  <si>
    <t>months</t>
  </si>
  <si>
    <t>I7</t>
  </si>
  <si>
    <t>I8</t>
  </si>
  <si>
    <t>J7</t>
  </si>
  <si>
    <t>J8</t>
  </si>
  <si>
    <t>Revision: 16 (dated 2.12.2019)</t>
  </si>
  <si>
    <t xml:space="preserve">This Personal Financing Loan Calculator is provided for illustrative purpose only. The results represented in this calculation are </t>
  </si>
  <si>
    <t>estimates only and should be used only as a reference.</t>
  </si>
  <si>
    <t>MAZELAN BIN A.LATIF</t>
  </si>
  <si>
    <t>SK TUMPAT 1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</si>
</sst>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dd/mm/yyyy;@"/>
    <numFmt numFmtId="165" formatCode="_([$RM-4409]* #,##0.00_);_([$RM-4409]* \(#,##0.00\);_([$RM-4409]* &quot;-&quot;??_);_(@_)"/>
    <numFmt numFmtId="166" formatCode="_(* #,##0_);_(* \(#,##0\);_(* &quot;-&quot;??_);_(@_)"/>
    <numFmt numFmtId="167" formatCode="0_);\(0\)"/>
    <numFmt numFmtId="168" formatCode="_(* #,##0.0_);_(* \(#,##0.0\);_(* &quot;-&quot;??_);_(@_)"/>
    <numFmt numFmtId="169" formatCode="0.0"/>
    <numFmt numFmtId="170" formatCode="_([$RM-43E]* #,##0.00_);_([$RM-43E]* \(#,##0.00\);_([$RM-43E]* &quot;-&quot;??_);_(@_)"/>
    <numFmt numFmtId="171" formatCode="mm/dd/yy;@"/>
  </numFmts>
  <fonts count="18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Calibri"/>
      <family val="2"/>
      <scheme val="minor"/>
    </font>
    <font>
      <sz val="13.5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color rgb="FF000000"/>
      <name val="Tahoma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9"/>
      <color rgb="FFFF0000"/>
      <name val="Calibri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49"/>
      </patternFill>
    </fill>
    <fill>
      <patternFill patternType="solid">
        <fgColor indexed="45"/>
        <bgColor indexed="2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7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/>
    <xf numFmtId="0" fontId="17" fillId="0" borderId="0"/>
    <xf numFmtId="9" fontId="15" fillId="0" borderId="0" applyFont="0" applyFill="0" applyBorder="0" applyAlignment="0" applyProtection="0"/>
    <xf numFmtId="0" fontId="6" fillId="0" borderId="0"/>
  </cellStyleXfs>
  <cellXfs count="227">
    <xf numFmtId="0" fontId="0" fillId="0" borderId="0" xfId="0"/>
    <xf numFmtId="0" fontId="0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9" fontId="1" fillId="0" borderId="0" xfId="2" applyFont="1" applyAlignment="1">
      <alignment vertical="center"/>
    </xf>
    <xf numFmtId="0" fontId="1" fillId="0" borderId="0" xfId="0" quotePrefix="1" applyFont="1" applyAlignment="1">
      <alignment vertical="center"/>
    </xf>
    <xf numFmtId="43" fontId="1" fillId="0" borderId="0" xfId="1" applyFont="1" applyAlignment="1">
      <alignment vertical="center"/>
    </xf>
    <xf numFmtId="164" fontId="1" fillId="0" borderId="0" xfId="0" applyNumberFormat="1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1" fontId="1" fillId="0" borderId="0" xfId="0" applyNumberFormat="1" applyFont="1" applyAlignment="1">
      <alignment vertical="center"/>
    </xf>
    <xf numFmtId="1" fontId="1" fillId="0" borderId="0" xfId="1" applyNumberFormat="1" applyFont="1" applyAlignment="1">
      <alignment vertical="center"/>
    </xf>
    <xf numFmtId="169" fontId="1" fillId="0" borderId="0" xfId="0" applyNumberFormat="1" applyFont="1" applyAlignment="1">
      <alignment vertical="center"/>
    </xf>
    <xf numFmtId="169" fontId="1" fillId="0" borderId="0" xfId="1" applyNumberFormat="1" applyFont="1" applyAlignment="1">
      <alignment vertical="center"/>
    </xf>
    <xf numFmtId="165" fontId="4" fillId="0" borderId="2" xfId="0" applyNumberFormat="1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0" fontId="2" fillId="6" borderId="1" xfId="0" applyFont="1" applyFill="1" applyBorder="1" applyAlignment="1" applyProtection="1">
      <alignment horizontal="center" vertical="center"/>
      <protection locked="0" hidden="1"/>
    </xf>
    <xf numFmtId="16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top"/>
      <protection locked="0" hidden="1"/>
    </xf>
    <xf numFmtId="0" fontId="5" fillId="0" borderId="0" xfId="0" applyFont="1" applyBorder="1" applyAlignment="1" applyProtection="1">
      <alignment vertical="top"/>
      <protection hidden="1"/>
    </xf>
    <xf numFmtId="0" fontId="1" fillId="0" borderId="0" xfId="0" applyFont="1" applyAlignment="1" applyProtection="1">
      <alignment vertical="center"/>
      <protection hidden="1"/>
    </xf>
    <xf numFmtId="0" fontId="9" fillId="0" borderId="5" xfId="0" applyFont="1" applyBorder="1" applyAlignment="1" applyProtection="1">
      <alignment horizontal="left" vertical="top" wrapText="1"/>
      <protection hidden="1"/>
    </xf>
    <xf numFmtId="0" fontId="9" fillId="0" borderId="9" xfId="0" applyFont="1" applyBorder="1" applyAlignment="1" applyProtection="1">
      <alignment vertical="top" wrapText="1"/>
      <protection hidden="1"/>
    </xf>
    <xf numFmtId="0" fontId="9" fillId="0" borderId="9" xfId="0" applyFont="1" applyBorder="1" applyAlignment="1" applyProtection="1">
      <alignment horizontal="left" vertical="top" wrapText="1"/>
      <protection hidden="1"/>
    </xf>
    <xf numFmtId="171" fontId="1" fillId="0" borderId="0" xfId="0" applyNumberFormat="1" applyFont="1" applyAlignment="1">
      <alignment vertical="center"/>
    </xf>
    <xf numFmtId="0" fontId="1" fillId="7" borderId="0" xfId="0" applyFont="1" applyFill="1" applyAlignment="1">
      <alignment vertical="center"/>
    </xf>
    <xf numFmtId="167" fontId="2" fillId="8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8" borderId="1" xfId="0" applyFont="1" applyFill="1" applyBorder="1" applyAlignment="1" applyProtection="1">
      <alignment horizontal="center" vertical="center"/>
      <protection hidden="1"/>
    </xf>
    <xf numFmtId="0" fontId="4" fillId="4" borderId="1" xfId="0" applyFont="1" applyFill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7" xfId="0" applyFont="1" applyBorder="1" applyAlignment="1" applyProtection="1">
      <alignment horizontal="left" vertical="top" wrapText="1"/>
      <protection locked="0" hidden="1"/>
    </xf>
    <xf numFmtId="0" fontId="4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69" fontId="1" fillId="0" borderId="0" xfId="0" quotePrefix="1" applyNumberFormat="1" applyFont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16" fillId="0" borderId="0" xfId="0" applyFont="1" applyAlignment="1">
      <alignment vertical="center"/>
    </xf>
    <xf numFmtId="0" fontId="9" fillId="0" borderId="6" xfId="0" applyFont="1" applyBorder="1" applyAlignment="1" applyProtection="1">
      <alignment horizontal="left" vertical="top" wrapText="1"/>
      <protection locked="0" hidden="1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9" fontId="2" fillId="6" borderId="8" xfId="2" applyFont="1" applyFill="1" applyBorder="1" applyAlignment="1" applyProtection="1">
      <alignment horizontal="center" vertical="center"/>
      <protection locked="0" hidden="1"/>
    </xf>
    <xf numFmtId="0" fontId="10" fillId="0" borderId="1" xfId="0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indent="1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" fontId="4" fillId="0" borderId="2" xfId="0" applyNumberFormat="1" applyFont="1" applyFill="1" applyBorder="1" applyAlignment="1" applyProtection="1">
      <alignment vertical="center"/>
      <protection hidden="1"/>
    </xf>
    <xf numFmtId="1" fontId="4" fillId="0" borderId="7" xfId="0" applyNumberFormat="1" applyFont="1" applyFill="1" applyBorder="1" applyAlignment="1" applyProtection="1">
      <alignment vertical="center"/>
      <protection hidden="1"/>
    </xf>
    <xf numFmtId="1" fontId="4" fillId="0" borderId="3" xfId="0" applyNumberFormat="1" applyFont="1" applyFill="1" applyBorder="1" applyAlignment="1" applyProtection="1">
      <alignment vertical="center"/>
      <protection hidden="1"/>
    </xf>
    <xf numFmtId="164" fontId="4" fillId="0" borderId="2" xfId="0" applyNumberFormat="1" applyFont="1" applyFill="1" applyBorder="1" applyAlignment="1" applyProtection="1">
      <alignment horizontal="left" vertical="center"/>
      <protection hidden="1"/>
    </xf>
    <xf numFmtId="164" fontId="4" fillId="0" borderId="7" xfId="0" applyNumberFormat="1" applyFont="1" applyFill="1" applyBorder="1" applyAlignment="1" applyProtection="1">
      <alignment horizontal="left" vertical="center"/>
      <protection hidden="1"/>
    </xf>
    <xf numFmtId="164" fontId="4" fillId="0" borderId="3" xfId="0" applyNumberFormat="1" applyFont="1" applyFill="1" applyBorder="1" applyAlignment="1" applyProtection="1">
      <alignment horizontal="left" vertical="center"/>
      <protection hidden="1"/>
    </xf>
    <xf numFmtId="1" fontId="4" fillId="6" borderId="2" xfId="0" applyNumberFormat="1" applyFont="1" applyFill="1" applyBorder="1" applyAlignment="1" applyProtection="1">
      <alignment horizontal="left" vertical="center"/>
      <protection locked="0"/>
    </xf>
    <xf numFmtId="1" fontId="4" fillId="6" borderId="7" xfId="0" applyNumberFormat="1" applyFont="1" applyFill="1" applyBorder="1" applyAlignment="1" applyProtection="1">
      <alignment horizontal="left" vertical="center"/>
      <protection locked="0"/>
    </xf>
    <xf numFmtId="1" fontId="4" fillId="6" borderId="3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6" borderId="2" xfId="0" applyFont="1" applyFill="1" applyBorder="1" applyAlignment="1" applyProtection="1">
      <alignment horizontal="left" vertical="center"/>
      <protection locked="0"/>
    </xf>
    <xf numFmtId="0" fontId="4" fillId="6" borderId="7" xfId="0" applyFont="1" applyFill="1" applyBorder="1" applyAlignment="1" applyProtection="1">
      <alignment horizontal="left" vertical="center"/>
      <protection locked="0"/>
    </xf>
    <xf numFmtId="0" fontId="4" fillId="6" borderId="3" xfId="0" applyFont="1" applyFill="1" applyBorder="1" applyAlignment="1" applyProtection="1">
      <alignment horizontal="left" vertical="center"/>
      <protection locked="0"/>
    </xf>
    <xf numFmtId="0" fontId="4" fillId="6" borderId="2" xfId="0" quotePrefix="1" applyFont="1" applyFill="1" applyBorder="1" applyAlignment="1" applyProtection="1">
      <alignment horizontal="left" vertical="center"/>
      <protection locked="0"/>
    </xf>
    <xf numFmtId="0" fontId="4" fillId="6" borderId="7" xfId="0" quotePrefix="1" applyFont="1" applyFill="1" applyBorder="1" applyAlignment="1" applyProtection="1">
      <alignment horizontal="left" vertical="center"/>
      <protection locked="0"/>
    </xf>
    <xf numFmtId="0" fontId="4" fillId="6" borderId="3" xfId="0" quotePrefix="1" applyFont="1" applyFill="1" applyBorder="1" applyAlignment="1" applyProtection="1">
      <alignment horizontal="left" vertical="center"/>
      <protection locked="0"/>
    </xf>
    <xf numFmtId="0" fontId="4" fillId="6" borderId="2" xfId="0" quotePrefix="1" applyFont="1" applyFill="1" applyBorder="1" applyAlignment="1" applyProtection="1">
      <alignment horizontal="right" vertical="center"/>
      <protection locked="0" hidden="1"/>
    </xf>
    <xf numFmtId="0" fontId="4" fillId="6" borderId="3" xfId="0" quotePrefix="1" applyFont="1" applyFill="1" applyBorder="1" applyAlignment="1" applyProtection="1">
      <alignment horizontal="right" vertical="center"/>
      <protection locked="0" hidden="1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1" fontId="4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 indent="13"/>
    </xf>
    <xf numFmtId="0" fontId="4" fillId="0" borderId="11" xfId="0" applyFont="1" applyFill="1" applyBorder="1" applyAlignment="1">
      <alignment horizontal="left" vertical="center" indent="13"/>
    </xf>
    <xf numFmtId="0" fontId="4" fillId="0" borderId="12" xfId="0" applyFont="1" applyFill="1" applyBorder="1" applyAlignment="1">
      <alignment horizontal="left" vertical="center" indent="13"/>
    </xf>
    <xf numFmtId="0" fontId="4" fillId="0" borderId="15" xfId="0" applyFont="1" applyFill="1" applyBorder="1" applyAlignment="1">
      <alignment horizontal="left" vertical="center" indent="13"/>
    </xf>
    <xf numFmtId="0" fontId="4" fillId="0" borderId="16" xfId="0" applyFont="1" applyFill="1" applyBorder="1" applyAlignment="1">
      <alignment horizontal="left" vertical="center" indent="13"/>
    </xf>
    <xf numFmtId="0" fontId="4" fillId="0" borderId="17" xfId="0" applyFont="1" applyFill="1" applyBorder="1" applyAlignment="1">
      <alignment horizontal="left" vertical="center" indent="13"/>
    </xf>
    <xf numFmtId="165" fontId="2" fillId="8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165" fontId="4" fillId="0" borderId="11" xfId="0" applyNumberFormat="1" applyFont="1" applyFill="1" applyBorder="1" applyAlignment="1" applyProtection="1">
      <alignment horizontal="center" vertical="center"/>
      <protection hidden="1"/>
    </xf>
    <xf numFmtId="165" fontId="4" fillId="8" borderId="2" xfId="0" applyNumberFormat="1" applyFont="1" applyFill="1" applyBorder="1" applyAlignment="1" applyProtection="1">
      <alignment horizontal="center" vertical="center"/>
      <protection hidden="1"/>
    </xf>
    <xf numFmtId="165" fontId="4" fillId="8" borderId="7" xfId="0" applyNumberFormat="1" applyFont="1" applyFill="1" applyBorder="1" applyAlignment="1" applyProtection="1">
      <alignment horizontal="center" vertical="center"/>
      <protection hidden="1"/>
    </xf>
    <xf numFmtId="0" fontId="4" fillId="6" borderId="2" xfId="0" applyFont="1" applyFill="1" applyBorder="1" applyAlignment="1" applyProtection="1">
      <alignment horizontal="left" vertical="center" wrapText="1"/>
      <protection locked="0"/>
    </xf>
    <xf numFmtId="0" fontId="4" fillId="6" borderId="7" xfId="0" applyFont="1" applyFill="1" applyBorder="1" applyAlignment="1" applyProtection="1">
      <alignment horizontal="left" vertical="center" wrapText="1"/>
      <protection locked="0"/>
    </xf>
    <xf numFmtId="0" fontId="4" fillId="6" borderId="3" xfId="0" applyFont="1" applyFill="1" applyBorder="1" applyAlignment="1" applyProtection="1">
      <alignment horizontal="left" vertical="center" wrapText="1"/>
      <protection locked="0"/>
    </xf>
    <xf numFmtId="165" fontId="4" fillId="6" borderId="2" xfId="0" applyNumberFormat="1" applyFont="1" applyFill="1" applyBorder="1" applyAlignment="1" applyProtection="1">
      <alignment horizontal="center" vertical="center"/>
      <protection locked="0"/>
    </xf>
    <xf numFmtId="165" fontId="4" fillId="6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7" xfId="0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left" vertical="center" indent="13"/>
    </xf>
    <xf numFmtId="0" fontId="4" fillId="0" borderId="7" xfId="0" applyFont="1" applyFill="1" applyBorder="1" applyAlignment="1">
      <alignment horizontal="left" vertical="center" indent="13"/>
    </xf>
    <xf numFmtId="0" fontId="4" fillId="0" borderId="3" xfId="0" applyFont="1" applyFill="1" applyBorder="1" applyAlignment="1">
      <alignment horizontal="left" vertical="center" indent="13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3"/>
    </xf>
    <xf numFmtId="0" fontId="2" fillId="0" borderId="7" xfId="0" applyFont="1" applyFill="1" applyBorder="1" applyAlignment="1">
      <alignment horizontal="left" vertical="center" indent="13"/>
    </xf>
    <xf numFmtId="0" fontId="2" fillId="0" borderId="3" xfId="0" applyFont="1" applyFill="1" applyBorder="1" applyAlignment="1">
      <alignment horizontal="left" vertical="center" indent="13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170" fontId="2" fillId="6" borderId="2" xfId="1" applyNumberFormat="1" applyFont="1" applyFill="1" applyBorder="1" applyAlignment="1" applyProtection="1">
      <alignment horizontal="center" vertical="center"/>
      <protection locked="0" hidden="1"/>
    </xf>
    <xf numFmtId="170" fontId="2" fillId="6" borderId="3" xfId="1" applyNumberFormat="1" applyFont="1" applyFill="1" applyBorder="1" applyAlignment="1" applyProtection="1">
      <alignment horizontal="center" vertical="center"/>
      <protection locked="0" hidden="1"/>
    </xf>
    <xf numFmtId="0" fontId="2" fillId="0" borderId="2" xfId="0" applyNumberFormat="1" applyFont="1" applyFill="1" applyBorder="1" applyAlignment="1" applyProtection="1">
      <alignment vertical="center"/>
      <protection hidden="1"/>
    </xf>
    <xf numFmtId="0" fontId="2" fillId="0" borderId="7" xfId="0" applyNumberFormat="1" applyFont="1" applyFill="1" applyBorder="1" applyAlignment="1" applyProtection="1">
      <alignment vertical="center"/>
      <protection hidden="1"/>
    </xf>
    <xf numFmtId="0" fontId="2" fillId="0" borderId="3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43" fontId="4" fillId="0" borderId="13" xfId="1" applyFont="1" applyBorder="1" applyAlignment="1">
      <alignment horizontal="center" vertical="center"/>
    </xf>
    <xf numFmtId="43" fontId="4" fillId="0" borderId="0" xfId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 applyProtection="1">
      <alignment horizontal="left" vertical="center" indent="18"/>
      <protection hidden="1"/>
    </xf>
    <xf numFmtId="165" fontId="2" fillId="0" borderId="1" xfId="0" applyNumberFormat="1" applyFont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vertical="center"/>
      <protection hidden="1"/>
    </xf>
    <xf numFmtId="165" fontId="4" fillId="0" borderId="1" xfId="0" applyNumberFormat="1" applyFont="1" applyFill="1" applyBorder="1" applyAlignment="1">
      <alignment vertical="center"/>
    </xf>
    <xf numFmtId="0" fontId="4" fillId="0" borderId="9" xfId="0" applyFont="1" applyBorder="1" applyAlignment="1" applyProtection="1">
      <alignment horizontal="center" vertical="center"/>
      <protection hidden="1"/>
    </xf>
    <xf numFmtId="9" fontId="4" fillId="0" borderId="2" xfId="0" applyNumberFormat="1" applyFont="1" applyFill="1" applyBorder="1" applyAlignment="1">
      <alignment vertical="center"/>
    </xf>
    <xf numFmtId="9" fontId="4" fillId="0" borderId="7" xfId="0" applyNumberFormat="1" applyFont="1" applyFill="1" applyBorder="1" applyAlignment="1">
      <alignment vertical="center"/>
    </xf>
    <xf numFmtId="9" fontId="4" fillId="0" borderId="3" xfId="0" applyNumberFormat="1" applyFont="1" applyFill="1" applyBorder="1" applyAlignment="1">
      <alignment vertical="center"/>
    </xf>
    <xf numFmtId="165" fontId="4" fillId="0" borderId="2" xfId="0" applyNumberFormat="1" applyFont="1" applyFill="1" applyBorder="1" applyAlignment="1" applyProtection="1">
      <alignment horizontal="center" vertical="center"/>
      <protection hidden="1"/>
    </xf>
    <xf numFmtId="165" fontId="4" fillId="0" borderId="7" xfId="0" applyNumberFormat="1" applyFont="1" applyFill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left" vertical="top" wrapText="1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9" fillId="0" borderId="14" xfId="0" applyFont="1" applyBorder="1" applyAlignment="1" applyProtection="1">
      <alignment horizontal="left" vertical="top" wrapText="1"/>
      <protection hidden="1"/>
    </xf>
    <xf numFmtId="43" fontId="4" fillId="6" borderId="1" xfId="1" applyFont="1" applyFill="1" applyBorder="1" applyAlignment="1" applyProtection="1">
      <alignment vertical="center"/>
      <protection locked="0" hidden="1"/>
    </xf>
    <xf numFmtId="165" fontId="2" fillId="0" borderId="1" xfId="0" applyNumberFormat="1" applyFont="1" applyFill="1" applyBorder="1" applyAlignment="1">
      <alignment horizontal="left" vertical="center" indent="20"/>
    </xf>
    <xf numFmtId="165" fontId="2" fillId="0" borderId="1" xfId="0" applyNumberFormat="1" applyFont="1" applyFill="1" applyBorder="1" applyAlignment="1" applyProtection="1">
      <alignment vertical="center"/>
      <protection hidden="1"/>
    </xf>
    <xf numFmtId="0" fontId="2" fillId="4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9" xfId="0" applyFont="1" applyBorder="1" applyAlignment="1" applyProtection="1">
      <alignment horizontal="left" vertical="top" wrapText="1"/>
      <protection locked="0" hidden="1"/>
    </xf>
    <xf numFmtId="0" fontId="2" fillId="3" borderId="2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4" fillId="0" borderId="0" xfId="0" applyFont="1" applyBorder="1" applyAlignment="1" applyProtection="1">
      <alignment horizontal="center" vertical="center"/>
      <protection hidden="1"/>
    </xf>
    <xf numFmtId="165" fontId="2" fillId="2" borderId="2" xfId="0" applyNumberFormat="1" applyFont="1" applyFill="1" applyBorder="1" applyAlignment="1" applyProtection="1">
      <alignment horizontal="center" vertical="center"/>
      <protection hidden="1"/>
    </xf>
    <xf numFmtId="165" fontId="2" fillId="2" borderId="7" xfId="0" applyNumberFormat="1" applyFont="1" applyFill="1" applyBorder="1" applyAlignment="1" applyProtection="1">
      <alignment horizontal="center" vertical="center"/>
      <protection hidden="1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3" xfId="0" applyNumberFormat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164" fontId="4" fillId="6" borderId="1" xfId="0" applyNumberFormat="1" applyFont="1" applyFill="1" applyBorder="1" applyAlignment="1" applyProtection="1">
      <alignment horizontal="left" vertical="center"/>
      <protection locked="0" hidden="1"/>
    </xf>
    <xf numFmtId="0" fontId="4" fillId="6" borderId="1" xfId="0" applyFont="1" applyFill="1" applyBorder="1" applyAlignment="1" applyProtection="1">
      <alignment horizontal="left" vertical="center"/>
      <protection locked="0" hidden="1"/>
    </xf>
    <xf numFmtId="0" fontId="4" fillId="0" borderId="1" xfId="0" quotePrefix="1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left" vertical="center" indent="19"/>
      <protection locked="0"/>
    </xf>
    <xf numFmtId="165" fontId="2" fillId="6" borderId="1" xfId="0" applyNumberFormat="1" applyFont="1" applyFill="1" applyBorder="1" applyAlignment="1" applyProtection="1">
      <alignment vertical="center"/>
      <protection locked="0" hidden="1"/>
    </xf>
    <xf numFmtId="165" fontId="4" fillId="6" borderId="1" xfId="0" applyNumberFormat="1" applyFont="1" applyFill="1" applyBorder="1" applyAlignment="1" applyProtection="1">
      <alignment vertical="center"/>
      <protection locked="0"/>
    </xf>
    <xf numFmtId="4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2" borderId="1" xfId="0" applyNumberFormat="1" applyFont="1" applyFill="1" applyBorder="1" applyAlignment="1" applyProtection="1">
      <alignment vertical="center"/>
      <protection hidden="1"/>
    </xf>
    <xf numFmtId="0" fontId="9" fillId="0" borderId="13" xfId="0" applyFont="1" applyBorder="1" applyAlignment="1" applyProtection="1">
      <alignment horizontal="left" vertical="top" wrapText="1"/>
      <protection locked="0" hidden="1"/>
    </xf>
    <xf numFmtId="0" fontId="9" fillId="0" borderId="0" xfId="0" applyFont="1" applyBorder="1" applyAlignment="1" applyProtection="1">
      <alignment horizontal="left" vertical="top" wrapText="1"/>
      <protection locked="0" hidden="1"/>
    </xf>
    <xf numFmtId="0" fontId="9" fillId="0" borderId="14" xfId="0" applyFont="1" applyBorder="1" applyAlignment="1" applyProtection="1">
      <alignment horizontal="left" vertical="top" wrapText="1"/>
      <protection locked="0" hidden="1"/>
    </xf>
    <xf numFmtId="0" fontId="9" fillId="0" borderId="10" xfId="0" applyFont="1" applyBorder="1" applyAlignment="1" applyProtection="1">
      <alignment horizontal="left" vertical="top" wrapText="1"/>
      <protection locked="0" hidden="1"/>
    </xf>
    <xf numFmtId="0" fontId="9" fillId="0" borderId="11" xfId="0" applyFont="1" applyBorder="1" applyAlignment="1" applyProtection="1">
      <alignment horizontal="left" vertical="top" wrapText="1"/>
      <protection locked="0" hidden="1"/>
    </xf>
    <xf numFmtId="0" fontId="9" fillId="0" borderId="12" xfId="0" applyFont="1" applyBorder="1" applyAlignment="1" applyProtection="1">
      <alignment horizontal="left" vertical="top" wrapText="1"/>
      <protection locked="0" hidden="1"/>
    </xf>
    <xf numFmtId="0" fontId="7" fillId="6" borderId="0" xfId="0" applyFont="1" applyFill="1" applyAlignment="1" applyProtection="1">
      <alignment horizontal="left" vertical="center"/>
      <protection locked="0" hidden="1"/>
    </xf>
    <xf numFmtId="0" fontId="4" fillId="0" borderId="4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vertical="center"/>
      <protection hidden="1"/>
    </xf>
    <xf numFmtId="166" fontId="4" fillId="0" borderId="1" xfId="1" applyNumberFormat="1" applyFont="1" applyFill="1" applyBorder="1" applyAlignment="1" applyProtection="1">
      <alignment horizontal="right" vertical="center"/>
      <protection hidden="1"/>
    </xf>
  </cellXfs>
  <cellStyles count="7">
    <cellStyle name="Comma" xfId="1" builtinId="3"/>
    <cellStyle name="Normal" xfId="0" builtinId="0"/>
    <cellStyle name="Normal 2" xfId="3"/>
    <cellStyle name="Normal 2 2" xfId="4"/>
    <cellStyle name="Normal 3" xfId="6"/>
    <cellStyle name="Percent" xfId="2" builtinId="5"/>
    <cellStyle name="Percent 2" xfId="5"/>
  </cellStyles>
  <dxfs count="0"/>
  <tableStyles count="0" defaultTableStyle="TableStyleMedium9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Y21" lockText="1" noThreeD="1"/>
</file>

<file path=xl/ctrlProps/ctrlProp2.xml><?xml version="1.0" encoding="utf-8"?>
<formControlPr xmlns="http://schemas.microsoft.com/office/spreadsheetml/2009/9/main" objectType="CheckBox" checked="Checked" fmlaLink="Y18" lockText="1" noThreeD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M96"/>
  <sheetViews>
    <sheetView showGridLines="0" tabSelected="1" view="pageBreakPreview" zoomScaleNormal="100" zoomScaleSheetLayoutView="100" zoomScalePageLayoutView="115" workbookViewId="0">
      <selection activeCell="J2" sqref="J2:O2"/>
    </sheetView>
  </sheetViews>
  <sheetFormatPr defaultColWidth="0" defaultRowHeight="12" zeroHeight="1"/>
  <cols>
    <col min="1" max="1" width="19.7109375" style="2" customWidth="1"/>
    <col min="2" max="2" width="3.42578125" style="2" customWidth="1"/>
    <col min="3" max="3" width="2.140625" style="2" customWidth="1"/>
    <col min="4" max="4" width="1" style="2" customWidth="1"/>
    <col min="5" max="5" width="0.85546875" style="2" customWidth="1"/>
    <col min="6" max="6" width="2.7109375" style="2" customWidth="1"/>
    <col min="7" max="7" width="0.85546875" style="2" customWidth="1"/>
    <col min="8" max="8" width="3.42578125" style="2" customWidth="1"/>
    <col min="9" max="9" width="16.7109375" style="2" customWidth="1"/>
    <col min="10" max="10" width="7.140625" style="2" customWidth="1"/>
    <col min="11" max="11" width="21.42578125" style="2" customWidth="1"/>
    <col min="12" max="12" width="3.42578125" style="2" customWidth="1"/>
    <col min="13" max="13" width="2.140625" style="2" customWidth="1"/>
    <col min="14" max="14" width="9.28515625" style="2" customWidth="1"/>
    <col min="15" max="15" width="7.42578125" style="2" customWidth="1"/>
    <col min="16" max="16" width="2.85546875" style="2" customWidth="1"/>
    <col min="17" max="17" width="13.7109375" style="2" hidden="1" customWidth="1"/>
    <col min="18" max="18" width="16.140625" style="2" hidden="1" customWidth="1"/>
    <col min="19" max="19" width="10.85546875" style="2" hidden="1" customWidth="1"/>
    <col min="20" max="23" width="8.85546875" style="2" hidden="1" customWidth="1"/>
    <col min="24" max="24" width="10" style="2" hidden="1" customWidth="1"/>
    <col min="25" max="29" width="8.85546875" style="2" hidden="1" customWidth="1"/>
    <col min="30" max="30" width="23.28515625" style="2" hidden="1" customWidth="1"/>
    <col min="31" max="36" width="8.85546875" style="2" hidden="1" customWidth="1"/>
    <col min="37" max="37" width="13.7109375" style="2" hidden="1" customWidth="1"/>
    <col min="38" max="16384" width="8.85546875" style="2" hidden="1"/>
  </cols>
  <sheetData>
    <row r="1" spans="1:35" ht="18" customHeight="1">
      <c r="X1" s="2" t="s">
        <v>83</v>
      </c>
      <c r="Y1" s="2" t="s">
        <v>84</v>
      </c>
      <c r="Z1" s="2" t="s">
        <v>85</v>
      </c>
    </row>
    <row r="2" spans="1:35" s="11" customFormat="1" ht="18">
      <c r="A2" s="84" t="s">
        <v>43</v>
      </c>
      <c r="B2" s="84"/>
      <c r="C2" s="84"/>
      <c r="D2" s="84"/>
      <c r="E2" s="84"/>
      <c r="F2" s="84"/>
      <c r="G2" s="84"/>
      <c r="H2" s="84"/>
      <c r="I2" s="84"/>
      <c r="J2" s="220" t="s">
        <v>29</v>
      </c>
      <c r="K2" s="220"/>
      <c r="L2" s="220"/>
      <c r="M2" s="220"/>
      <c r="N2" s="220"/>
      <c r="O2" s="220"/>
      <c r="P2" s="12"/>
      <c r="R2" s="2" t="s">
        <v>30</v>
      </c>
      <c r="X2" s="2">
        <v>50</v>
      </c>
      <c r="Y2" s="2">
        <v>6.88</v>
      </c>
      <c r="Z2" s="2">
        <v>81</v>
      </c>
    </row>
    <row r="3" spans="1:35" ht="12.75">
      <c r="A3" s="3"/>
      <c r="B3" s="3"/>
      <c r="C3" s="3"/>
      <c r="D3" s="3"/>
      <c r="E3" s="3"/>
      <c r="F3" s="3"/>
      <c r="G3" s="3"/>
      <c r="H3" s="3"/>
      <c r="N3" s="4"/>
      <c r="R3" s="2" t="s">
        <v>29</v>
      </c>
      <c r="X3" s="2">
        <v>51</v>
      </c>
      <c r="Y3" s="19">
        <v>6.5</v>
      </c>
      <c r="Z3" s="2">
        <v>90</v>
      </c>
      <c r="AD3" s="2" t="s">
        <v>104</v>
      </c>
      <c r="AF3" s="2">
        <f>IF(B10="Married",5,IF(B10="Single",1,3))</f>
        <v>5</v>
      </c>
      <c r="AG3" s="2" t="s">
        <v>101</v>
      </c>
    </row>
    <row r="4" spans="1:35" ht="14.45" customHeight="1">
      <c r="A4" s="181" t="s">
        <v>1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X4" s="2">
        <v>52</v>
      </c>
      <c r="Y4" s="2">
        <v>6.99</v>
      </c>
      <c r="Z4" s="2">
        <v>85</v>
      </c>
      <c r="AD4" s="2" t="s">
        <v>105</v>
      </c>
      <c r="AF4" s="2">
        <f>VLOOKUP(L7,AD8:AE17,2,0)+IF($L$7="AG",1,IF($L$7="Polis",1,IF($L$7="C*",0,0)))+IF($L$7="AG",3,IF($L$7="Polis",3,IF($L$7="C*",1,IF(L7="State",2,1))))</f>
        <v>9</v>
      </c>
      <c r="AG4" s="2" t="s">
        <v>160</v>
      </c>
    </row>
    <row r="5" spans="1:35" ht="14.45" customHeight="1">
      <c r="A5" s="85" t="s">
        <v>0</v>
      </c>
      <c r="B5" s="86"/>
      <c r="C5" s="86"/>
      <c r="D5" s="86"/>
      <c r="E5" s="86"/>
      <c r="F5" s="86"/>
      <c r="G5" s="86"/>
      <c r="H5" s="86"/>
      <c r="I5" s="86"/>
      <c r="J5" s="87"/>
      <c r="K5" s="188" t="s">
        <v>27</v>
      </c>
      <c r="L5" s="188"/>
      <c r="M5" s="188"/>
      <c r="N5" s="188"/>
      <c r="O5" s="188"/>
      <c r="Q5" s="5"/>
      <c r="R5" s="5"/>
      <c r="X5" s="2">
        <v>53</v>
      </c>
      <c r="Y5" s="2">
        <v>7.99</v>
      </c>
      <c r="Z5" s="2">
        <v>83</v>
      </c>
      <c r="AD5" s="2" t="s">
        <v>106</v>
      </c>
      <c r="AF5" s="2">
        <f>VLOOKUP(L8,AD21:AE58,2,0)*2</f>
        <v>10</v>
      </c>
      <c r="AG5" s="2" t="s">
        <v>2</v>
      </c>
    </row>
    <row r="6" spans="1:35" ht="14.45" customHeight="1">
      <c r="A6" s="51" t="s">
        <v>23</v>
      </c>
      <c r="B6" s="88" t="s">
        <v>224</v>
      </c>
      <c r="C6" s="89"/>
      <c r="D6" s="89"/>
      <c r="E6" s="89"/>
      <c r="F6" s="89"/>
      <c r="G6" s="89"/>
      <c r="H6" s="89"/>
      <c r="I6" s="89"/>
      <c r="J6" s="90"/>
      <c r="K6" s="61" t="s">
        <v>32</v>
      </c>
      <c r="L6" s="200" t="s">
        <v>225</v>
      </c>
      <c r="M6" s="200"/>
      <c r="N6" s="200"/>
      <c r="O6" s="200"/>
      <c r="Q6" s="5"/>
      <c r="R6" s="5" t="s">
        <v>36</v>
      </c>
      <c r="S6" s="2" t="str">
        <f>MID(B7,5,2)</f>
        <v>01</v>
      </c>
      <c r="T6" s="2" t="s">
        <v>58</v>
      </c>
      <c r="U6" s="14" t="s">
        <v>49</v>
      </c>
      <c r="V6" s="2" t="s">
        <v>59</v>
      </c>
      <c r="W6" s="14" t="s">
        <v>64</v>
      </c>
      <c r="X6" s="2">
        <v>54</v>
      </c>
      <c r="Y6" s="2">
        <v>8.99</v>
      </c>
      <c r="Z6" s="2">
        <v>79</v>
      </c>
      <c r="AD6" s="2" t="s">
        <v>107</v>
      </c>
      <c r="AF6" s="59">
        <f ca="1">IF(B9&gt;24,10,3)</f>
        <v>10</v>
      </c>
      <c r="AG6" s="59" t="s">
        <v>161</v>
      </c>
      <c r="AI6" s="2">
        <v>10</v>
      </c>
    </row>
    <row r="7" spans="1:35" ht="14.45" customHeight="1">
      <c r="A7" s="51" t="s">
        <v>31</v>
      </c>
      <c r="B7" s="81">
        <v>671201035531</v>
      </c>
      <c r="C7" s="82"/>
      <c r="D7" s="82"/>
      <c r="E7" s="82"/>
      <c r="F7" s="82"/>
      <c r="G7" s="82"/>
      <c r="H7" s="82"/>
      <c r="I7" s="82"/>
      <c r="J7" s="83"/>
      <c r="K7" s="62" t="s">
        <v>102</v>
      </c>
      <c r="L7" s="201" t="s">
        <v>109</v>
      </c>
      <c r="M7" s="201"/>
      <c r="N7" s="201"/>
      <c r="O7" s="201"/>
      <c r="R7" s="2" t="s">
        <v>37</v>
      </c>
      <c r="S7" s="2" t="str">
        <f>MID(B7,3,2)</f>
        <v>12</v>
      </c>
      <c r="U7" s="14" t="s">
        <v>48</v>
      </c>
      <c r="W7" s="14" t="s">
        <v>65</v>
      </c>
      <c r="X7" s="2">
        <v>55</v>
      </c>
      <c r="Y7" s="2">
        <v>9.99</v>
      </c>
      <c r="Z7" s="2">
        <v>78</v>
      </c>
      <c r="AF7" s="59">
        <v>10</v>
      </c>
      <c r="AG7" s="59" t="s">
        <v>162</v>
      </c>
      <c r="AI7" s="2">
        <v>10</v>
      </c>
    </row>
    <row r="8" spans="1:35" ht="14.45" customHeight="1">
      <c r="A8" s="51" t="s">
        <v>214</v>
      </c>
      <c r="B8" s="78">
        <f>S10</f>
        <v>24807</v>
      </c>
      <c r="C8" s="79"/>
      <c r="D8" s="79"/>
      <c r="E8" s="79"/>
      <c r="F8" s="79"/>
      <c r="G8" s="79"/>
      <c r="H8" s="79"/>
      <c r="I8" s="79"/>
      <c r="J8" s="80"/>
      <c r="K8" s="61" t="s">
        <v>2</v>
      </c>
      <c r="L8" s="200" t="s">
        <v>122</v>
      </c>
      <c r="M8" s="200"/>
      <c r="N8" s="200"/>
      <c r="O8" s="200"/>
      <c r="Q8" s="5"/>
      <c r="R8" s="5" t="s">
        <v>38</v>
      </c>
      <c r="S8" s="5" t="str">
        <f>LEFT(B7,2)</f>
        <v>67</v>
      </c>
      <c r="U8" s="14" t="s">
        <v>54</v>
      </c>
      <c r="W8" s="14" t="s">
        <v>66</v>
      </c>
      <c r="X8" s="2">
        <v>56</v>
      </c>
      <c r="Y8" s="2">
        <v>7.77</v>
      </c>
      <c r="Z8" s="2">
        <v>76</v>
      </c>
      <c r="AD8" s="2" t="s">
        <v>109</v>
      </c>
      <c r="AE8" s="2">
        <v>5</v>
      </c>
      <c r="AF8" s="59">
        <v>0</v>
      </c>
      <c r="AG8" s="59" t="s">
        <v>163</v>
      </c>
      <c r="AI8" s="2">
        <v>2</v>
      </c>
    </row>
    <row r="9" spans="1:35" ht="14.45" customHeight="1">
      <c r="A9" s="51" t="s">
        <v>5</v>
      </c>
      <c r="B9" s="75">
        <f ca="1">S18</f>
        <v>52</v>
      </c>
      <c r="C9" s="99" t="s">
        <v>215</v>
      </c>
      <c r="D9" s="99"/>
      <c r="E9" s="99"/>
      <c r="F9" s="99"/>
      <c r="G9" s="76"/>
      <c r="H9" s="76">
        <f ca="1">(S20-S18)*12</f>
        <v>8.9034907597536233</v>
      </c>
      <c r="I9" s="76" t="s">
        <v>216</v>
      </c>
      <c r="J9" s="77"/>
      <c r="K9" s="62" t="s">
        <v>103</v>
      </c>
      <c r="L9" s="200" t="s">
        <v>156</v>
      </c>
      <c r="M9" s="200"/>
      <c r="N9" s="200"/>
      <c r="O9" s="200"/>
      <c r="Q9" s="5"/>
      <c r="R9" s="5" t="s">
        <v>39</v>
      </c>
      <c r="S9" s="5" t="str">
        <f>S6&amp;"/"&amp;S7&amp;"/"&amp;S8</f>
        <v>01/12/67</v>
      </c>
      <c r="U9" s="14" t="s">
        <v>57</v>
      </c>
      <c r="W9" s="14" t="s">
        <v>67</v>
      </c>
      <c r="X9" s="2">
        <v>57</v>
      </c>
      <c r="Y9" s="19">
        <v>10</v>
      </c>
      <c r="Z9" s="2">
        <v>77</v>
      </c>
      <c r="AD9" s="2" t="s">
        <v>116</v>
      </c>
      <c r="AE9" s="2">
        <v>4</v>
      </c>
      <c r="AF9" s="59">
        <v>0</v>
      </c>
      <c r="AG9" s="59" t="s">
        <v>164</v>
      </c>
      <c r="AI9" s="2">
        <v>1</v>
      </c>
    </row>
    <row r="10" spans="1:35" ht="15">
      <c r="A10" s="51" t="s">
        <v>101</v>
      </c>
      <c r="B10" s="88" t="s">
        <v>104</v>
      </c>
      <c r="C10" s="89"/>
      <c r="D10" s="89"/>
      <c r="E10" s="89"/>
      <c r="F10" s="89"/>
      <c r="G10" s="89"/>
      <c r="H10" s="89"/>
      <c r="I10" s="89"/>
      <c r="J10" s="90"/>
      <c r="K10" s="61" t="s">
        <v>213</v>
      </c>
      <c r="L10" s="202">
        <v>32509</v>
      </c>
      <c r="M10" s="202"/>
      <c r="N10" s="202"/>
      <c r="O10" s="202"/>
      <c r="Q10" s="1"/>
      <c r="R10" s="5" t="s">
        <v>39</v>
      </c>
      <c r="S10" s="16">
        <f>DATEVALUE(S9)</f>
        <v>24807</v>
      </c>
      <c r="U10" s="14" t="s">
        <v>55</v>
      </c>
      <c r="W10" s="14" t="s">
        <v>68</v>
      </c>
      <c r="X10" s="2">
        <v>58</v>
      </c>
      <c r="Y10" s="19">
        <v>11</v>
      </c>
      <c r="Z10" s="2">
        <v>78</v>
      </c>
      <c r="AD10" s="2" t="s">
        <v>115</v>
      </c>
      <c r="AE10" s="2">
        <v>5</v>
      </c>
      <c r="AF10" s="2">
        <f>IF(L31&gt;0,0,1)</f>
        <v>1</v>
      </c>
      <c r="AG10" s="2" t="s">
        <v>165</v>
      </c>
    </row>
    <row r="11" spans="1:35" ht="15" customHeight="1">
      <c r="A11" s="51" t="s">
        <v>4</v>
      </c>
      <c r="B11" s="94"/>
      <c r="C11" s="95"/>
      <c r="D11" s="91"/>
      <c r="E11" s="92"/>
      <c r="F11" s="92"/>
      <c r="G11" s="92"/>
      <c r="H11" s="92"/>
      <c r="I11" s="92"/>
      <c r="J11" s="93"/>
      <c r="K11" s="61" t="s">
        <v>34</v>
      </c>
      <c r="L11" s="203">
        <v>60</v>
      </c>
      <c r="M11" s="203"/>
      <c r="N11" s="203"/>
      <c r="O11" s="203"/>
      <c r="Q11" s="5"/>
      <c r="R11" s="5" t="s">
        <v>39</v>
      </c>
      <c r="S11" s="5" t="str">
        <f>S7&amp;"/"&amp;S6&amp;"/"&amp;S8</f>
        <v>12/01/67</v>
      </c>
      <c r="U11" s="14" t="s">
        <v>60</v>
      </c>
      <c r="W11" s="14" t="s">
        <v>69</v>
      </c>
      <c r="X11" s="2">
        <v>59</v>
      </c>
      <c r="Y11" s="2">
        <v>7.99</v>
      </c>
      <c r="Z11" s="2">
        <v>81</v>
      </c>
      <c r="AD11" s="2" t="s">
        <v>117</v>
      </c>
      <c r="AE11" s="2">
        <v>3</v>
      </c>
      <c r="AF11" s="59">
        <v>0</v>
      </c>
      <c r="AG11" s="59" t="s">
        <v>166</v>
      </c>
      <c r="AI11" s="2">
        <v>1</v>
      </c>
    </row>
    <row r="12" spans="1:35" ht="14.45" customHeight="1">
      <c r="A12" s="51" t="s">
        <v>22</v>
      </c>
      <c r="B12" s="94" t="s">
        <v>71</v>
      </c>
      <c r="C12" s="95"/>
      <c r="D12" s="91">
        <v>9656489</v>
      </c>
      <c r="E12" s="92"/>
      <c r="F12" s="92"/>
      <c r="G12" s="92"/>
      <c r="H12" s="92"/>
      <c r="I12" s="92"/>
      <c r="J12" s="93"/>
      <c r="K12" s="185" t="s">
        <v>35</v>
      </c>
      <c r="L12" s="204">
        <f>L11-1</f>
        <v>59</v>
      </c>
      <c r="M12" s="204"/>
      <c r="N12" s="204"/>
      <c r="O12" s="204"/>
      <c r="R12" s="5" t="s">
        <v>39</v>
      </c>
      <c r="S12" s="35">
        <f>DATEVALUE(S11)</f>
        <v>24484</v>
      </c>
      <c r="U12" s="14" t="s">
        <v>56</v>
      </c>
      <c r="W12" s="14" t="s">
        <v>70</v>
      </c>
      <c r="X12" s="2">
        <v>60</v>
      </c>
      <c r="Y12" s="2">
        <v>8.99</v>
      </c>
      <c r="Z12" s="2">
        <v>80</v>
      </c>
      <c r="AD12" s="2" t="s">
        <v>118</v>
      </c>
      <c r="AE12" s="2">
        <v>3</v>
      </c>
      <c r="AF12" s="59">
        <v>0</v>
      </c>
      <c r="AG12" s="59" t="s">
        <v>167</v>
      </c>
      <c r="AI12" s="2">
        <v>1</v>
      </c>
    </row>
    <row r="13" spans="1:35" ht="12.75">
      <c r="A13" s="50" t="s">
        <v>3</v>
      </c>
      <c r="B13" s="94"/>
      <c r="C13" s="95"/>
      <c r="D13" s="182"/>
      <c r="E13" s="183"/>
      <c r="F13" s="183"/>
      <c r="G13" s="183"/>
      <c r="H13" s="183"/>
      <c r="I13" s="183"/>
      <c r="J13" s="184"/>
      <c r="K13" s="185"/>
      <c r="L13" s="204"/>
      <c r="M13" s="204"/>
      <c r="N13" s="204"/>
      <c r="O13" s="204"/>
      <c r="U13" s="14" t="s">
        <v>61</v>
      </c>
      <c r="W13" s="14" t="s">
        <v>71</v>
      </c>
      <c r="Y13" s="2">
        <v>9.99</v>
      </c>
      <c r="Z13" s="2">
        <v>75</v>
      </c>
      <c r="AD13" s="2" t="s">
        <v>111</v>
      </c>
      <c r="AE13" s="2">
        <v>3</v>
      </c>
      <c r="AF13" s="59">
        <v>0</v>
      </c>
      <c r="AG13" s="59" t="s">
        <v>175</v>
      </c>
      <c r="AI13" s="2">
        <v>5</v>
      </c>
    </row>
    <row r="14" spans="1:35" ht="12.75" hidden="1">
      <c r="A14" s="186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R14" s="2" t="s">
        <v>173</v>
      </c>
      <c r="S14" s="54">
        <f ca="1">(TODAY()-L10)/365</f>
        <v>31.676712328767124</v>
      </c>
      <c r="U14" s="14" t="s">
        <v>62</v>
      </c>
      <c r="W14" s="14" t="s">
        <v>72</v>
      </c>
      <c r="Y14" s="2" t="b">
        <f>Y21</f>
        <v>0</v>
      </c>
      <c r="Z14" s="2">
        <v>82</v>
      </c>
      <c r="AD14" s="2" t="s">
        <v>112</v>
      </c>
      <c r="AE14" s="2">
        <v>3</v>
      </c>
      <c r="AF14" s="2">
        <f ca="1">IF(B9&lt;26,0,IF(B9&lt;31,2,IF(B9&lt;36,4,IF(B9&lt;46,5,IF(B9&lt;51,2,-1)))))</f>
        <v>-1</v>
      </c>
      <c r="AG14" s="2" t="s">
        <v>5</v>
      </c>
    </row>
    <row r="15" spans="1:35" ht="12.75">
      <c r="A15" s="181" t="s">
        <v>7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R15" s="2" t="s">
        <v>108</v>
      </c>
      <c r="S15" s="52">
        <f ca="1">S16-21960</f>
        <v>22111</v>
      </c>
      <c r="U15" s="14" t="s">
        <v>63</v>
      </c>
      <c r="W15" s="14" t="s">
        <v>73</v>
      </c>
      <c r="Z15" s="2">
        <v>83</v>
      </c>
      <c r="AD15" s="2" t="s">
        <v>113</v>
      </c>
      <c r="AE15" s="2">
        <v>3</v>
      </c>
      <c r="AF15" s="2">
        <f>IF(ISODD(RIGHT(B7,1))=TRUE,3,5)</f>
        <v>3</v>
      </c>
      <c r="AG15" s="2" t="s">
        <v>168</v>
      </c>
    </row>
    <row r="16" spans="1:35" ht="12.75" hidden="1">
      <c r="A16" s="106" t="s">
        <v>6</v>
      </c>
      <c r="B16" s="107"/>
      <c r="C16" s="107"/>
      <c r="D16" s="107"/>
      <c r="E16" s="107"/>
      <c r="F16" s="107"/>
      <c r="G16" s="107"/>
      <c r="H16" s="107"/>
      <c r="I16" s="107"/>
      <c r="J16" s="108"/>
      <c r="K16" s="205">
        <v>10000</v>
      </c>
      <c r="L16" s="205"/>
      <c r="M16" s="205"/>
      <c r="N16" s="205"/>
      <c r="O16" s="205"/>
      <c r="R16" s="2" t="s">
        <v>79</v>
      </c>
      <c r="S16" s="17">
        <f ca="1">TODAY()</f>
        <v>44071</v>
      </c>
      <c r="U16" s="14" t="s">
        <v>50</v>
      </c>
      <c r="Y16" s="39" t="str">
        <f>TEXT(Y14,1)</f>
        <v>FALSE</v>
      </c>
      <c r="Z16" s="2">
        <v>84</v>
      </c>
      <c r="AD16" s="2" t="s">
        <v>110</v>
      </c>
      <c r="AE16" s="2">
        <v>2</v>
      </c>
      <c r="AF16" s="2">
        <f ca="1">IF((SUM(N21:N22,N54)/N18)&lt;0.21,5,IF((SUM(N21:N22,N54)/N18)&lt;0.31,4,IF((SUM(N21:N22,N54)/N18)&lt;0.51,3,IF((SUM(N21:N22,N54)/N18)&lt;0.61,2,-60))))</f>
        <v>2</v>
      </c>
      <c r="AG16" s="2" t="s">
        <v>169</v>
      </c>
    </row>
    <row r="17" spans="1:39" ht="12.75" hidden="1">
      <c r="A17" s="109" t="s">
        <v>8</v>
      </c>
      <c r="B17" s="110"/>
      <c r="C17" s="110"/>
      <c r="D17" s="110"/>
      <c r="E17" s="110"/>
      <c r="F17" s="110"/>
      <c r="G17" s="110"/>
      <c r="H17" s="110"/>
      <c r="I17" s="110"/>
      <c r="J17" s="111"/>
      <c r="K17" s="205">
        <v>715</v>
      </c>
      <c r="L17" s="205"/>
      <c r="M17" s="205"/>
      <c r="N17" s="205"/>
      <c r="O17" s="205"/>
      <c r="R17" s="2" t="e">
        <f ca="1">IF(S10,DATED(S10,S16,"Y"),IF(S12,DATED(S12,S16,"Y")))</f>
        <v>#NAME?</v>
      </c>
      <c r="S17" s="18">
        <f ca="1">DATEDIF(S12,TODAY(),"Y")</f>
        <v>53</v>
      </c>
      <c r="U17" s="14" t="s">
        <v>51</v>
      </c>
      <c r="Z17" s="2">
        <v>85</v>
      </c>
      <c r="AD17" s="2" t="s">
        <v>114</v>
      </c>
      <c r="AE17" s="2">
        <v>-10</v>
      </c>
      <c r="AF17" s="2">
        <f>IF(N18&lt;1500,2,IF(N18&lt;2000,4,IF(N18&lt;3000,6,IF(N18&lt;5000,8,10))))</f>
        <v>10</v>
      </c>
      <c r="AG17" s="2" t="s">
        <v>170</v>
      </c>
    </row>
    <row r="18" spans="1:39" ht="15">
      <c r="A18" s="96" t="s">
        <v>80</v>
      </c>
      <c r="B18" s="97"/>
      <c r="C18" s="97"/>
      <c r="D18" s="97"/>
      <c r="E18" s="97"/>
      <c r="F18" s="97"/>
      <c r="G18" s="97"/>
      <c r="H18" s="97"/>
      <c r="I18" s="97"/>
      <c r="J18" s="98"/>
      <c r="K18" s="112"/>
      <c r="L18" s="112"/>
      <c r="M18" s="112"/>
      <c r="N18" s="206">
        <v>5545.6</v>
      </c>
      <c r="O18" s="206"/>
      <c r="Q18" s="13">
        <v>0.5</v>
      </c>
      <c r="S18" s="7">
        <f ca="1">DATEDIF(S10,TODAY(),"Y")</f>
        <v>52</v>
      </c>
      <c r="U18" s="14" t="s">
        <v>52</v>
      </c>
      <c r="Y18" s="45" t="b">
        <v>1</v>
      </c>
      <c r="Z18" s="2">
        <v>86</v>
      </c>
      <c r="AF18" s="2">
        <f>IF(I51&lt;30000,1,0)</f>
        <v>1</v>
      </c>
      <c r="AG18" s="2" t="s">
        <v>171</v>
      </c>
      <c r="AK18" s="55"/>
      <c r="AL18" s="56"/>
    </row>
    <row r="19" spans="1:39" ht="15" hidden="1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Q19" s="13">
        <v>0.6</v>
      </c>
      <c r="U19" s="14" t="s">
        <v>53</v>
      </c>
      <c r="Z19" s="2">
        <v>87</v>
      </c>
      <c r="AF19" s="2">
        <f ca="1">IF(S14&lt;1,1,IF(S14&lt;3,2,IF(S14&lt;6,3,IF(S14&lt;8,4,IF(S14&lt;11,5,IF(S14&lt;13,6,IF(S14&lt;16,7,IF(S14&lt;21,8,IF(S14&lt;26,5,1)))))))))</f>
        <v>1</v>
      </c>
      <c r="AG19" s="2" t="s">
        <v>172</v>
      </c>
      <c r="AK19" s="55"/>
      <c r="AL19" s="56"/>
    </row>
    <row r="20" spans="1:39" ht="12.75" customHeight="1">
      <c r="A20" s="100" t="s">
        <v>44</v>
      </c>
      <c r="B20" s="101"/>
      <c r="C20" s="101"/>
      <c r="D20" s="101"/>
      <c r="E20" s="101"/>
      <c r="F20" s="101"/>
      <c r="G20" s="101"/>
      <c r="H20" s="101"/>
      <c r="I20" s="102"/>
      <c r="J20" s="63">
        <v>0.6</v>
      </c>
      <c r="K20" s="113"/>
      <c r="L20" s="114"/>
      <c r="M20" s="114"/>
      <c r="N20" s="167">
        <f>N18*J20</f>
        <v>3327.36</v>
      </c>
      <c r="O20" s="167"/>
      <c r="Q20" s="13">
        <v>0.56000000000000005</v>
      </c>
      <c r="S20" s="19">
        <f ca="1">(TODAY()-S9)/365.25</f>
        <v>52.741957563312802</v>
      </c>
      <c r="U20" s="14"/>
      <c r="Y20" s="44" t="str">
        <f>TEXT(Y18,1)</f>
        <v>TRUE</v>
      </c>
      <c r="Z20" s="2">
        <v>88</v>
      </c>
      <c r="AF20" s="2">
        <f>IF(L9="Permanent",5,IF(L9="Probation",3,IF(L9="Temporary (Sabah/Sarawak)",4,IF(L9="Contract",IF(S14&lt;2,-30,-5)))))*2+IF(L9="Permanent",1,0)</f>
        <v>11</v>
      </c>
      <c r="AG20" s="2" t="s">
        <v>174</v>
      </c>
      <c r="AK20" s="57"/>
      <c r="AL20" s="58"/>
      <c r="AM20" s="5"/>
    </row>
    <row r="21" spans="1:39" ht="12.75" customHeight="1">
      <c r="A21" s="103" t="s">
        <v>9</v>
      </c>
      <c r="B21" s="104"/>
      <c r="C21" s="104"/>
      <c r="D21" s="104"/>
      <c r="E21" s="104"/>
      <c r="F21" s="104"/>
      <c r="G21" s="104"/>
      <c r="H21" s="104"/>
      <c r="I21" s="104"/>
      <c r="J21" s="105"/>
      <c r="K21" s="115"/>
      <c r="L21" s="116"/>
      <c r="M21" s="116"/>
      <c r="N21" s="207">
        <v>3013.58</v>
      </c>
      <c r="O21" s="207"/>
      <c r="Q21" s="13">
        <v>0.56999999999999995</v>
      </c>
      <c r="U21" s="14"/>
      <c r="Y21" s="64" t="b">
        <v>0</v>
      </c>
      <c r="Z21" s="2">
        <v>89</v>
      </c>
      <c r="AD21" s="53" t="s">
        <v>119</v>
      </c>
      <c r="AE21" s="2">
        <v>-1</v>
      </c>
      <c r="AF21" s="2">
        <f ca="1">SUM(AF3:AF20)</f>
        <v>72</v>
      </c>
      <c r="AK21" s="57"/>
      <c r="AL21" s="58"/>
      <c r="AM21" s="5"/>
    </row>
    <row r="22" spans="1:39" ht="12.75" customHeight="1">
      <c r="A22" s="103" t="s">
        <v>10</v>
      </c>
      <c r="B22" s="104"/>
      <c r="C22" s="104"/>
      <c r="D22" s="104"/>
      <c r="E22" s="104"/>
      <c r="F22" s="104"/>
      <c r="G22" s="104"/>
      <c r="H22" s="104"/>
      <c r="I22" s="104"/>
      <c r="J22" s="105"/>
      <c r="K22" s="115"/>
      <c r="L22" s="116"/>
      <c r="M22" s="116"/>
      <c r="N22" s="207">
        <v>0</v>
      </c>
      <c r="O22" s="207"/>
      <c r="Q22" s="13">
        <v>0.57999999999999996</v>
      </c>
      <c r="U22" s="14"/>
      <c r="Z22" s="2">
        <v>90</v>
      </c>
      <c r="AD22" s="53" t="s">
        <v>120</v>
      </c>
      <c r="AE22" s="2">
        <v>0</v>
      </c>
      <c r="AK22" s="57"/>
      <c r="AL22" s="58"/>
      <c r="AM22" s="5"/>
    </row>
    <row r="23" spans="1:39" ht="12.75" customHeight="1">
      <c r="A23" s="122" t="s">
        <v>45</v>
      </c>
      <c r="B23" s="123"/>
      <c r="C23" s="123"/>
      <c r="D23" s="123"/>
      <c r="E23" s="123"/>
      <c r="F23" s="123"/>
      <c r="G23" s="123"/>
      <c r="H23" s="123"/>
      <c r="I23" s="123"/>
      <c r="J23" s="124"/>
      <c r="K23" s="130"/>
      <c r="L23" s="131"/>
      <c r="M23" s="131"/>
      <c r="N23" s="180">
        <f>N20-N21-N22</f>
        <v>313.7800000000002</v>
      </c>
      <c r="O23" s="180"/>
      <c r="Q23" s="13">
        <v>0.59</v>
      </c>
      <c r="U23" s="14"/>
      <c r="Z23" s="2">
        <v>91</v>
      </c>
      <c r="AD23" s="53" t="s">
        <v>121</v>
      </c>
      <c r="AE23" s="2">
        <v>-5</v>
      </c>
      <c r="AK23" s="57"/>
      <c r="AL23" s="58"/>
      <c r="AM23" s="5"/>
    </row>
    <row r="24" spans="1:39" ht="15" hidden="1">
      <c r="A24" s="132"/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Q24" s="13">
        <v>0.6</v>
      </c>
      <c r="Z24" s="2">
        <v>92</v>
      </c>
      <c r="AD24" s="53" t="s">
        <v>122</v>
      </c>
      <c r="AE24" s="2">
        <v>5</v>
      </c>
      <c r="AI24" s="7" t="s">
        <v>203</v>
      </c>
      <c r="AJ24" s="7" t="s">
        <v>204</v>
      </c>
      <c r="AK24" s="70" t="s">
        <v>205</v>
      </c>
      <c r="AL24" s="58"/>
      <c r="AM24" s="5"/>
    </row>
    <row r="25" spans="1:39" ht="15" customHeight="1">
      <c r="A25" s="125" t="s">
        <v>26</v>
      </c>
      <c r="B25" s="126"/>
      <c r="C25" s="126"/>
      <c r="D25" s="126"/>
      <c r="E25" s="126"/>
      <c r="F25" s="126"/>
      <c r="G25" s="126"/>
      <c r="H25" s="126"/>
      <c r="I25" s="127"/>
      <c r="J25" s="128" t="s">
        <v>11</v>
      </c>
      <c r="K25" s="129"/>
      <c r="L25" s="208" t="s">
        <v>33</v>
      </c>
      <c r="M25" s="208"/>
      <c r="N25" s="208"/>
      <c r="O25" s="208"/>
      <c r="U25" s="14"/>
      <c r="Z25" s="2">
        <v>93</v>
      </c>
      <c r="AD25" s="53" t="s">
        <v>123</v>
      </c>
      <c r="AE25" s="2">
        <v>4</v>
      </c>
      <c r="AG25" s="57" t="s">
        <v>179</v>
      </c>
      <c r="AH25" s="57" t="s">
        <v>180</v>
      </c>
      <c r="AI25" s="70">
        <v>6.99</v>
      </c>
      <c r="AJ25" s="7">
        <v>7.99</v>
      </c>
      <c r="AK25" s="71">
        <v>6.5</v>
      </c>
      <c r="AL25" s="56"/>
      <c r="AM25" s="5"/>
    </row>
    <row r="26" spans="1:39" ht="15">
      <c r="A26" s="117"/>
      <c r="B26" s="118"/>
      <c r="C26" s="118"/>
      <c r="D26" s="118"/>
      <c r="E26" s="118"/>
      <c r="F26" s="118"/>
      <c r="G26" s="118"/>
      <c r="H26" s="118"/>
      <c r="I26" s="119"/>
      <c r="J26" s="120"/>
      <c r="K26" s="121"/>
      <c r="L26" s="142"/>
      <c r="M26" s="142"/>
      <c r="N26" s="142"/>
      <c r="O26" s="142"/>
      <c r="U26" s="14"/>
      <c r="Z26" s="2">
        <v>94</v>
      </c>
      <c r="AD26" s="53" t="s">
        <v>124</v>
      </c>
      <c r="AE26" s="2">
        <v>2</v>
      </c>
      <c r="AG26" s="67" t="s">
        <v>181</v>
      </c>
      <c r="AH26" s="67" t="s">
        <v>182</v>
      </c>
      <c r="AI26" s="71">
        <v>7.99</v>
      </c>
      <c r="AJ26" s="7">
        <v>7.99</v>
      </c>
      <c r="AK26" s="71">
        <v>6.5</v>
      </c>
      <c r="AL26" s="56"/>
      <c r="AM26" s="5"/>
    </row>
    <row r="27" spans="1:39" ht="15">
      <c r="A27" s="117"/>
      <c r="B27" s="118"/>
      <c r="C27" s="118"/>
      <c r="D27" s="118"/>
      <c r="E27" s="118"/>
      <c r="F27" s="118"/>
      <c r="G27" s="118"/>
      <c r="H27" s="118"/>
      <c r="I27" s="119"/>
      <c r="J27" s="120">
        <v>0</v>
      </c>
      <c r="K27" s="121"/>
      <c r="L27" s="142">
        <v>0</v>
      </c>
      <c r="M27" s="142"/>
      <c r="N27" s="142"/>
      <c r="O27" s="142"/>
      <c r="U27" s="14"/>
      <c r="Z27" s="2">
        <v>95</v>
      </c>
      <c r="AD27" s="53" t="s">
        <v>125</v>
      </c>
      <c r="AE27" s="2">
        <v>1</v>
      </c>
      <c r="AG27" s="68" t="s">
        <v>183</v>
      </c>
      <c r="AH27" s="67" t="s">
        <v>184</v>
      </c>
      <c r="AI27" s="71">
        <v>7.99</v>
      </c>
      <c r="AJ27" s="7">
        <v>7.99</v>
      </c>
      <c r="AK27" s="71">
        <v>6.5</v>
      </c>
      <c r="AL27" s="56"/>
      <c r="AM27" s="5"/>
    </row>
    <row r="28" spans="1:39" ht="15" customHeight="1">
      <c r="A28" s="117"/>
      <c r="B28" s="118"/>
      <c r="C28" s="118"/>
      <c r="D28" s="118"/>
      <c r="E28" s="118"/>
      <c r="F28" s="118"/>
      <c r="G28" s="118"/>
      <c r="H28" s="118"/>
      <c r="I28" s="119"/>
      <c r="J28" s="120">
        <v>0</v>
      </c>
      <c r="K28" s="121"/>
      <c r="L28" s="142">
        <v>0</v>
      </c>
      <c r="M28" s="142"/>
      <c r="N28" s="142"/>
      <c r="O28" s="142"/>
      <c r="U28" s="14"/>
      <c r="AD28" s="53" t="s">
        <v>126</v>
      </c>
      <c r="AE28" s="2">
        <v>2</v>
      </c>
      <c r="AG28" s="68" t="s">
        <v>185</v>
      </c>
      <c r="AH28" s="67" t="s">
        <v>186</v>
      </c>
      <c r="AI28" s="71">
        <v>8.99</v>
      </c>
      <c r="AJ28" s="7">
        <v>8.99</v>
      </c>
      <c r="AK28" s="71">
        <v>6.5</v>
      </c>
      <c r="AL28" s="56"/>
    </row>
    <row r="29" spans="1:39" ht="15">
      <c r="A29" s="117"/>
      <c r="B29" s="118"/>
      <c r="C29" s="118"/>
      <c r="D29" s="118"/>
      <c r="E29" s="118"/>
      <c r="F29" s="118"/>
      <c r="G29" s="118"/>
      <c r="H29" s="118"/>
      <c r="I29" s="119"/>
      <c r="J29" s="120">
        <v>0</v>
      </c>
      <c r="K29" s="121"/>
      <c r="L29" s="142">
        <v>0</v>
      </c>
      <c r="M29" s="142"/>
      <c r="N29" s="142"/>
      <c r="O29" s="142"/>
      <c r="AD29" s="53" t="s">
        <v>127</v>
      </c>
      <c r="AE29" s="2">
        <v>-1</v>
      </c>
      <c r="AG29" s="68" t="s">
        <v>187</v>
      </c>
      <c r="AH29" s="68" t="s">
        <v>188</v>
      </c>
      <c r="AI29" s="66">
        <v>8.99</v>
      </c>
      <c r="AJ29" s="7">
        <v>8.99</v>
      </c>
      <c r="AK29" s="5"/>
      <c r="AL29" s="5"/>
    </row>
    <row r="30" spans="1:39" ht="12.75" customHeight="1">
      <c r="A30" s="137"/>
      <c r="B30" s="138"/>
      <c r="C30" s="138"/>
      <c r="D30" s="138"/>
      <c r="E30" s="138"/>
      <c r="F30" s="138"/>
      <c r="G30" s="138"/>
      <c r="H30" s="138"/>
      <c r="I30" s="139"/>
      <c r="J30" s="120">
        <v>0</v>
      </c>
      <c r="K30" s="121"/>
      <c r="L30" s="142">
        <v>0</v>
      </c>
      <c r="M30" s="142"/>
      <c r="N30" s="142"/>
      <c r="O30" s="142"/>
      <c r="U30" s="38" t="s">
        <v>98</v>
      </c>
      <c r="V30" s="2">
        <v>7.99</v>
      </c>
      <c r="W30" s="2">
        <v>81</v>
      </c>
      <c r="AD30" s="53" t="s">
        <v>128</v>
      </c>
      <c r="AE30" s="2">
        <v>4</v>
      </c>
      <c r="AG30" s="68" t="s">
        <v>189</v>
      </c>
      <c r="AH30" s="67" t="s">
        <v>190</v>
      </c>
      <c r="AI30" s="71">
        <v>8.99</v>
      </c>
      <c r="AJ30" s="7">
        <v>8.99</v>
      </c>
      <c r="AK30" s="5"/>
      <c r="AL30" s="5"/>
    </row>
    <row r="31" spans="1:39" ht="15">
      <c r="A31" s="209" t="s">
        <v>12</v>
      </c>
      <c r="B31" s="210"/>
      <c r="C31" s="210"/>
      <c r="D31" s="210"/>
      <c r="E31" s="210"/>
      <c r="F31" s="210"/>
      <c r="G31" s="210"/>
      <c r="H31" s="210"/>
      <c r="I31" s="211"/>
      <c r="J31" s="130">
        <f>SUM(J26:K30)</f>
        <v>0</v>
      </c>
      <c r="K31" s="212"/>
      <c r="L31" s="161">
        <f>SUM(L26:N30)</f>
        <v>0</v>
      </c>
      <c r="M31" s="161"/>
      <c r="N31" s="161"/>
      <c r="O31" s="161"/>
      <c r="Q31" s="7" t="s">
        <v>17</v>
      </c>
      <c r="R31" s="7" t="s">
        <v>18</v>
      </c>
      <c r="S31" s="22">
        <v>0</v>
      </c>
      <c r="U31" s="38" t="s">
        <v>99</v>
      </c>
      <c r="V31" s="2">
        <v>8.99</v>
      </c>
      <c r="W31" s="2">
        <v>80</v>
      </c>
      <c r="AD31" s="53" t="s">
        <v>129</v>
      </c>
      <c r="AE31" s="2">
        <v>-1</v>
      </c>
      <c r="AG31" s="65" t="s">
        <v>191</v>
      </c>
      <c r="AH31" s="57" t="s">
        <v>192</v>
      </c>
      <c r="AI31" s="70">
        <v>9.99</v>
      </c>
      <c r="AJ31" s="7">
        <v>9.99</v>
      </c>
      <c r="AK31" s="5"/>
      <c r="AL31" s="5"/>
    </row>
    <row r="32" spans="1:39" ht="15" customHeight="1">
      <c r="A32" s="134" t="s">
        <v>46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6"/>
      <c r="L32" s="161">
        <f>N23+L31</f>
        <v>313.7800000000002</v>
      </c>
      <c r="M32" s="161"/>
      <c r="N32" s="161"/>
      <c r="O32" s="161"/>
      <c r="Q32" s="7">
        <v>20</v>
      </c>
      <c r="R32" s="7">
        <v>0</v>
      </c>
      <c r="S32" s="22">
        <v>0.5</v>
      </c>
      <c r="U32" s="38" t="s">
        <v>100</v>
      </c>
      <c r="V32" s="2">
        <v>9.99</v>
      </c>
      <c r="W32" s="2">
        <v>75</v>
      </c>
      <c r="AD32" s="53" t="s">
        <v>130</v>
      </c>
      <c r="AE32" s="2">
        <v>-3</v>
      </c>
      <c r="AG32" s="68" t="s">
        <v>193</v>
      </c>
      <c r="AH32" s="68" t="s">
        <v>194</v>
      </c>
      <c r="AI32" s="66">
        <v>9.99</v>
      </c>
    </row>
    <row r="33" spans="1:35" ht="15" hidden="1">
      <c r="A33" s="140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Q33" s="7">
        <v>25</v>
      </c>
      <c r="R33" s="7">
        <v>0</v>
      </c>
      <c r="S33" s="22">
        <v>1</v>
      </c>
      <c r="X33" s="7" t="s">
        <v>86</v>
      </c>
      <c r="Y33" s="7" t="s">
        <v>206</v>
      </c>
      <c r="AD33" s="53" t="s">
        <v>131</v>
      </c>
      <c r="AE33" s="2">
        <v>0</v>
      </c>
      <c r="AG33" s="69" t="s">
        <v>195</v>
      </c>
      <c r="AH33" s="68" t="s">
        <v>196</v>
      </c>
      <c r="AI33" s="66">
        <v>9.99</v>
      </c>
    </row>
    <row r="34" spans="1:35" ht="15">
      <c r="A34" s="164" t="s">
        <v>16</v>
      </c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8"/>
      <c r="S34" s="22">
        <v>1.5</v>
      </c>
      <c r="V34" s="2">
        <v>6.99</v>
      </c>
      <c r="W34" s="2">
        <v>85</v>
      </c>
      <c r="X34" s="7" t="s">
        <v>208</v>
      </c>
      <c r="Y34" s="7" t="s">
        <v>210</v>
      </c>
      <c r="AD34" s="53" t="s">
        <v>132</v>
      </c>
      <c r="AE34" s="2">
        <v>-5</v>
      </c>
      <c r="AG34" s="69" t="s">
        <v>197</v>
      </c>
      <c r="AH34" s="68" t="s">
        <v>198</v>
      </c>
      <c r="AI34" s="66">
        <v>9.99</v>
      </c>
    </row>
    <row r="35" spans="1:35" ht="15">
      <c r="A35" s="146" t="s">
        <v>176</v>
      </c>
      <c r="B35" s="147"/>
      <c r="C35" s="147"/>
      <c r="D35" s="147"/>
      <c r="E35" s="147"/>
      <c r="F35" s="147"/>
      <c r="G35" s="147"/>
      <c r="H35" s="147"/>
      <c r="I35" s="198" t="str">
        <f ca="1">IF(J2=R3,VLOOKUP(O35,W34:X38,2,0),VLOOKUP(O35,W34:Y38,3,0))</f>
        <v>I8</v>
      </c>
      <c r="J35" s="199"/>
      <c r="K35" s="221" t="s">
        <v>74</v>
      </c>
      <c r="L35" s="198">
        <f ca="1">IF(O35=W34,6.99,IF(O35=W35,7.99,IF(O35=W36,8.99,9.99)))</f>
        <v>8.99</v>
      </c>
      <c r="M35" s="199"/>
      <c r="N35" s="221" t="s">
        <v>75</v>
      </c>
      <c r="O35" s="72">
        <f ca="1">IF(AF21&lt;16,75,IF(AF21&lt;51,78,IF(AF21&lt;75,79,IF(AF21&lt;95,80,85))))</f>
        <v>79</v>
      </c>
      <c r="S35" s="22">
        <v>2</v>
      </c>
      <c r="V35" s="2">
        <v>7.99</v>
      </c>
      <c r="W35" s="2">
        <v>80</v>
      </c>
      <c r="X35" s="7" t="s">
        <v>217</v>
      </c>
      <c r="Y35" s="7" t="s">
        <v>219</v>
      </c>
      <c r="AD35" s="53" t="s">
        <v>133</v>
      </c>
      <c r="AE35" s="2">
        <v>1</v>
      </c>
      <c r="AG35" s="69" t="s">
        <v>199</v>
      </c>
      <c r="AH35" s="68" t="s">
        <v>200</v>
      </c>
      <c r="AI35" s="66">
        <v>9.99</v>
      </c>
    </row>
    <row r="36" spans="1:35" ht="15">
      <c r="A36" s="146" t="s">
        <v>177</v>
      </c>
      <c r="B36" s="147"/>
      <c r="C36" s="147"/>
      <c r="D36" s="147"/>
      <c r="E36" s="147"/>
      <c r="F36" s="147"/>
      <c r="G36" s="147"/>
      <c r="H36" s="147"/>
      <c r="I36" s="198" t="str">
        <f ca="1">IF(AF21&lt;51,"Not eligible",IF(J2="Yayasan Ihsan Rakyat","OV","OW"))</f>
        <v>OV</v>
      </c>
      <c r="J36" s="199"/>
      <c r="K36" s="222"/>
      <c r="L36" s="196">
        <f ca="1">IF(I36="Not eligible","-",6.5)</f>
        <v>6.5</v>
      </c>
      <c r="M36" s="197"/>
      <c r="N36" s="222"/>
      <c r="O36" s="72">
        <f ca="1">IF(I36="Not eligible","-",90)</f>
        <v>90</v>
      </c>
      <c r="S36" s="22">
        <v>2.5</v>
      </c>
      <c r="V36" s="2">
        <v>8.99</v>
      </c>
      <c r="W36" s="2">
        <v>79</v>
      </c>
      <c r="X36" s="7" t="s">
        <v>218</v>
      </c>
      <c r="Y36" s="7" t="s">
        <v>220</v>
      </c>
      <c r="AD36" s="53" t="s">
        <v>134</v>
      </c>
      <c r="AE36" s="2">
        <v>-5</v>
      </c>
      <c r="AG36" s="69" t="s">
        <v>201</v>
      </c>
      <c r="AH36" s="68" t="s">
        <v>202</v>
      </c>
      <c r="AI36" s="68" t="s">
        <v>202</v>
      </c>
    </row>
    <row r="37" spans="1:35" ht="15">
      <c r="A37" s="146" t="s">
        <v>178</v>
      </c>
      <c r="B37" s="147"/>
      <c r="C37" s="147"/>
      <c r="D37" s="147"/>
      <c r="E37" s="147"/>
      <c r="F37" s="147"/>
      <c r="G37" s="147"/>
      <c r="H37" s="147"/>
      <c r="I37" s="198" t="str">
        <f ca="1">IF(J2=R2,"Not eligible",IF(AF21&lt;46,"Not eligible",IF(AF21&lt;51,"GW",IF(AF21&lt;75,"GV","GU"))))</f>
        <v>GV</v>
      </c>
      <c r="J37" s="199"/>
      <c r="K37" s="223"/>
      <c r="L37" s="198">
        <f ca="1">IF(I37="Not eligible","-",VLOOKUP(I37,U30:W32,2,0))</f>
        <v>8.99</v>
      </c>
      <c r="M37" s="199"/>
      <c r="N37" s="223"/>
      <c r="O37" s="72">
        <f ca="1">IF(I37="Not eligible","-",VLOOKUP(I37,U30:W32,3,0))</f>
        <v>80</v>
      </c>
      <c r="Q37" s="22"/>
      <c r="S37" s="22">
        <v>3</v>
      </c>
      <c r="V37" s="2">
        <v>9.99</v>
      </c>
      <c r="W37" s="2">
        <v>78</v>
      </c>
      <c r="X37" s="7" t="s">
        <v>209</v>
      </c>
      <c r="Y37" s="7" t="s">
        <v>211</v>
      </c>
      <c r="AD37" s="53" t="s">
        <v>135</v>
      </c>
      <c r="AE37" s="2">
        <v>0</v>
      </c>
    </row>
    <row r="38" spans="1:35" ht="15">
      <c r="A38" s="146" t="s">
        <v>76</v>
      </c>
      <c r="B38" s="147"/>
      <c r="C38" s="147"/>
      <c r="D38" s="147"/>
      <c r="E38" s="147"/>
      <c r="F38" s="147"/>
      <c r="G38" s="147"/>
      <c r="H38" s="147"/>
      <c r="I38" s="148"/>
      <c r="J38" s="26" t="s">
        <v>18</v>
      </c>
      <c r="K38" s="150"/>
      <c r="L38" s="150"/>
      <c r="M38" s="150"/>
      <c r="N38" s="167">
        <f>IF($J$38=$Q$31,$Q$32,IF($J$38=$R$31,$R$32))</f>
        <v>0</v>
      </c>
      <c r="O38" s="167"/>
      <c r="S38" s="22">
        <v>3.5</v>
      </c>
      <c r="V38" s="2">
        <v>9.99</v>
      </c>
      <c r="W38" s="2">
        <v>75</v>
      </c>
      <c r="X38" s="7" t="s">
        <v>207</v>
      </c>
      <c r="Y38" s="7" t="s">
        <v>212</v>
      </c>
      <c r="AD38" s="53" t="s">
        <v>136</v>
      </c>
      <c r="AE38" s="2">
        <v>-2</v>
      </c>
    </row>
    <row r="39" spans="1:35" ht="15">
      <c r="A39" s="103" t="s">
        <v>21</v>
      </c>
      <c r="B39" s="104"/>
      <c r="C39" s="104"/>
      <c r="D39" s="104"/>
      <c r="E39" s="104"/>
      <c r="F39" s="104"/>
      <c r="G39" s="104"/>
      <c r="H39" s="104"/>
      <c r="I39" s="104"/>
      <c r="J39" s="105"/>
      <c r="K39" s="150"/>
      <c r="L39" s="150"/>
      <c r="M39" s="150"/>
      <c r="N39" s="167">
        <f>L32-N38</f>
        <v>313.7800000000002</v>
      </c>
      <c r="O39" s="167"/>
      <c r="S39" s="22">
        <v>4</v>
      </c>
      <c r="V39" s="19"/>
      <c r="AD39" s="53" t="s">
        <v>137</v>
      </c>
      <c r="AE39" s="2">
        <v>-1</v>
      </c>
    </row>
    <row r="40" spans="1:35" ht="17.25" customHeight="1">
      <c r="A40" s="143" t="s">
        <v>21</v>
      </c>
      <c r="B40" s="144"/>
      <c r="C40" s="144"/>
      <c r="D40" s="144"/>
      <c r="E40" s="144"/>
      <c r="F40" s="144"/>
      <c r="G40" s="144"/>
      <c r="H40" s="144"/>
      <c r="I40" s="144"/>
      <c r="J40" s="145"/>
      <c r="K40" s="151"/>
      <c r="L40" s="151"/>
      <c r="M40" s="151"/>
      <c r="N40" s="168">
        <f>N39/1.0212</f>
        <v>307.26596161378785</v>
      </c>
      <c r="O40" s="168"/>
      <c r="S40" s="22">
        <v>4.5</v>
      </c>
      <c r="AD40" s="53" t="s">
        <v>138</v>
      </c>
      <c r="AE40" s="2">
        <v>3</v>
      </c>
    </row>
    <row r="41" spans="1:35" ht="17.25" hidden="1" customHeight="1">
      <c r="A41" s="103" t="s">
        <v>78</v>
      </c>
      <c r="B41" s="104"/>
      <c r="C41" s="104"/>
      <c r="D41" s="104"/>
      <c r="E41" s="104"/>
      <c r="F41" s="104"/>
      <c r="G41" s="104"/>
      <c r="H41" s="104"/>
      <c r="I41" s="104"/>
      <c r="J41" s="105"/>
      <c r="K41" s="224">
        <f ca="1">FLOOR(IF(L12-S20&lt;=10,L12-S20,10),0.5)</f>
        <v>6</v>
      </c>
      <c r="L41" s="224"/>
      <c r="M41" s="224"/>
      <c r="N41" s="224"/>
      <c r="O41" s="224"/>
      <c r="S41" s="22">
        <v>5</v>
      </c>
      <c r="AD41" s="53" t="s">
        <v>139</v>
      </c>
      <c r="AE41" s="2">
        <v>-1</v>
      </c>
    </row>
    <row r="42" spans="1:35" ht="15">
      <c r="A42" s="146" t="s">
        <v>14</v>
      </c>
      <c r="B42" s="147"/>
      <c r="C42" s="147"/>
      <c r="D42" s="147"/>
      <c r="E42" s="147"/>
      <c r="F42" s="147"/>
      <c r="G42" s="147"/>
      <c r="H42" s="148"/>
      <c r="I42" s="51" t="s">
        <v>90</v>
      </c>
      <c r="J42" s="27">
        <v>10</v>
      </c>
      <c r="K42" s="149" t="s">
        <v>88</v>
      </c>
      <c r="L42" s="149"/>
      <c r="M42" s="149"/>
      <c r="N42" s="225">
        <f ca="1">IF(J42&gt;K41,K41,J42)</f>
        <v>6</v>
      </c>
      <c r="O42" s="225"/>
      <c r="S42" s="22">
        <v>5.5</v>
      </c>
      <c r="AD42" s="53" t="s">
        <v>140</v>
      </c>
      <c r="AE42" s="2">
        <v>1</v>
      </c>
    </row>
    <row r="43" spans="1:35" ht="14.45" customHeight="1">
      <c r="A43" s="103" t="s">
        <v>13</v>
      </c>
      <c r="B43" s="104"/>
      <c r="C43" s="104"/>
      <c r="D43" s="104"/>
      <c r="E43" s="104"/>
      <c r="F43" s="104"/>
      <c r="G43" s="104"/>
      <c r="H43" s="104"/>
      <c r="I43" s="104"/>
      <c r="J43" s="105"/>
      <c r="K43" s="226">
        <f ca="1">N42*12</f>
        <v>72</v>
      </c>
      <c r="L43" s="226"/>
      <c r="M43" s="226"/>
      <c r="N43" s="226"/>
      <c r="O43" s="226"/>
      <c r="S43" s="22">
        <v>6</v>
      </c>
      <c r="AD43" s="53" t="s">
        <v>141</v>
      </c>
      <c r="AE43" s="2">
        <v>3</v>
      </c>
    </row>
    <row r="44" spans="1:35" ht="14.45" customHeight="1">
      <c r="A44" s="103" t="s">
        <v>28</v>
      </c>
      <c r="B44" s="104"/>
      <c r="C44" s="104"/>
      <c r="D44" s="104"/>
      <c r="E44" s="104"/>
      <c r="F44" s="104"/>
      <c r="G44" s="104"/>
      <c r="H44" s="104"/>
      <c r="I44" s="104"/>
      <c r="J44" s="105"/>
      <c r="K44" s="226">
        <f ca="1">B9+N42</f>
        <v>58</v>
      </c>
      <c r="L44" s="226"/>
      <c r="M44" s="226"/>
      <c r="N44" s="226"/>
      <c r="O44" s="226"/>
      <c r="Q44" s="6"/>
      <c r="S44" s="22">
        <v>6.5</v>
      </c>
      <c r="AD44" s="53" t="s">
        <v>142</v>
      </c>
      <c r="AE44" s="2">
        <v>-3</v>
      </c>
    </row>
    <row r="45" spans="1:35" ht="17.25" customHeight="1">
      <c r="A45" s="103" t="s">
        <v>74</v>
      </c>
      <c r="B45" s="104"/>
      <c r="C45" s="104"/>
      <c r="D45" s="104"/>
      <c r="E45" s="104"/>
      <c r="F45" s="104"/>
      <c r="G45" s="104"/>
      <c r="H45" s="104"/>
      <c r="I45" s="104"/>
      <c r="J45" s="105"/>
      <c r="K45" s="74"/>
      <c r="L45" s="73"/>
      <c r="M45" s="73"/>
      <c r="N45" s="178">
        <v>7.99</v>
      </c>
      <c r="O45" s="178"/>
      <c r="P45" s="8"/>
      <c r="Q45" s="8">
        <f ca="1">N51*N45/100</f>
        <v>1190.51</v>
      </c>
      <c r="S45" s="22">
        <v>7</v>
      </c>
      <c r="AD45" s="53" t="s">
        <v>143</v>
      </c>
      <c r="AE45" s="2">
        <v>-1</v>
      </c>
    </row>
    <row r="46" spans="1:35" ht="14.45" hidden="1" customHeight="1">
      <c r="A46" s="152" t="s">
        <v>15</v>
      </c>
      <c r="B46" s="153"/>
      <c r="C46" s="153"/>
      <c r="D46" s="153"/>
      <c r="E46" s="153"/>
      <c r="F46" s="153"/>
      <c r="G46" s="153"/>
      <c r="H46" s="153"/>
      <c r="I46" s="153"/>
      <c r="J46" s="154"/>
      <c r="K46" s="179">
        <f ca="1">ROUNDUP((N40*K43)/(N45/100*(K43/12)+1),0)</f>
        <v>14955</v>
      </c>
      <c r="L46" s="179"/>
      <c r="M46" s="179"/>
      <c r="N46" s="179"/>
      <c r="O46" s="179"/>
      <c r="P46" s="8"/>
      <c r="Q46" s="8"/>
      <c r="S46" s="22">
        <v>7.5</v>
      </c>
      <c r="AD46" s="53" t="s">
        <v>144</v>
      </c>
      <c r="AE46" s="2">
        <v>-5</v>
      </c>
    </row>
    <row r="47" spans="1:35" ht="14.45" customHeight="1">
      <c r="A47" s="122" t="s">
        <v>15</v>
      </c>
      <c r="B47" s="123"/>
      <c r="C47" s="123"/>
      <c r="D47" s="123"/>
      <c r="E47" s="123"/>
      <c r="F47" s="123"/>
      <c r="G47" s="123"/>
      <c r="H47" s="123"/>
      <c r="I47" s="123"/>
      <c r="J47" s="124"/>
      <c r="K47" s="161"/>
      <c r="L47" s="161"/>
      <c r="M47" s="161"/>
      <c r="N47" s="180">
        <f ca="1">IF($K$46&gt;180000,180000,$K$46)</f>
        <v>14955</v>
      </c>
      <c r="O47" s="180"/>
      <c r="P47" s="8"/>
      <c r="Q47" s="8"/>
      <c r="S47" s="22">
        <v>8</v>
      </c>
      <c r="AD47" s="53" t="s">
        <v>145</v>
      </c>
      <c r="AE47" s="2">
        <v>2</v>
      </c>
    </row>
    <row r="48" spans="1:35" ht="14.45" hidden="1" customHeight="1">
      <c r="A48" s="162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8"/>
      <c r="Q48" s="8"/>
      <c r="S48" s="22">
        <v>8.5</v>
      </c>
      <c r="AD48" s="53" t="s">
        <v>146</v>
      </c>
      <c r="AE48" s="2">
        <v>1</v>
      </c>
    </row>
    <row r="49" spans="1:35" ht="14.45" customHeight="1">
      <c r="A49" s="164" t="s">
        <v>20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8"/>
      <c r="Q49" s="8">
        <f ca="1">Q45*N42</f>
        <v>7143.0599999999995</v>
      </c>
      <c r="S49" s="22">
        <v>9</v>
      </c>
      <c r="U49" s="2" t="s">
        <v>86</v>
      </c>
      <c r="V49" s="2" t="s">
        <v>84</v>
      </c>
      <c r="W49" s="2" t="s">
        <v>87</v>
      </c>
      <c r="X49" s="2" t="s">
        <v>85</v>
      </c>
      <c r="Z49" s="2" t="s">
        <v>84</v>
      </c>
      <c r="AA49" s="2" t="s">
        <v>87</v>
      </c>
      <c r="AB49" s="2" t="s">
        <v>85</v>
      </c>
      <c r="AD49" s="53" t="s">
        <v>147</v>
      </c>
      <c r="AE49" s="2">
        <v>-2</v>
      </c>
    </row>
    <row r="50" spans="1:35" ht="14.45" hidden="1" customHeight="1">
      <c r="A50" s="152" t="s">
        <v>81</v>
      </c>
      <c r="B50" s="153"/>
      <c r="C50" s="153"/>
      <c r="D50" s="153"/>
      <c r="E50" s="153"/>
      <c r="F50" s="153"/>
      <c r="G50" s="153"/>
      <c r="H50" s="153"/>
      <c r="I50" s="153"/>
      <c r="J50" s="154"/>
      <c r="K50" s="165">
        <f ca="1">IF(K46&gt;180000,180000,K46)</f>
        <v>14955</v>
      </c>
      <c r="L50" s="165"/>
      <c r="M50" s="165"/>
      <c r="N50" s="165"/>
      <c r="O50" s="165"/>
      <c r="P50" s="8"/>
      <c r="Q50" s="8">
        <f ca="1">N51+Q49</f>
        <v>22043.059999999998</v>
      </c>
      <c r="S50" s="23">
        <v>9.5</v>
      </c>
      <c r="V50" s="15">
        <v>6.88</v>
      </c>
      <c r="W50" s="2">
        <v>1</v>
      </c>
      <c r="X50" s="20">
        <v>81</v>
      </c>
      <c r="Z50" s="15">
        <v>6.88</v>
      </c>
      <c r="AA50" s="2">
        <v>2</v>
      </c>
      <c r="AB50" s="20">
        <v>81</v>
      </c>
      <c r="AD50" s="53" t="s">
        <v>115</v>
      </c>
      <c r="AE50" s="2">
        <v>0</v>
      </c>
    </row>
    <row r="51" spans="1:35" ht="14.45" customHeight="1">
      <c r="A51" s="49" t="s">
        <v>82</v>
      </c>
      <c r="B51" s="158" t="s">
        <v>90</v>
      </c>
      <c r="C51" s="159"/>
      <c r="D51" s="159"/>
      <c r="E51" s="159"/>
      <c r="F51" s="159"/>
      <c r="G51" s="159"/>
      <c r="H51" s="160"/>
      <c r="I51" s="156">
        <v>14900</v>
      </c>
      <c r="J51" s="157"/>
      <c r="K51" s="155" t="s">
        <v>89</v>
      </c>
      <c r="L51" s="155"/>
      <c r="M51" s="155"/>
      <c r="N51" s="166">
        <f ca="1">IF(I51&gt;=N47,FLOOR(N47,100),IF(I51&lt;N47,FLOOR(I51,100)))</f>
        <v>14900</v>
      </c>
      <c r="O51" s="166"/>
      <c r="P51" s="8"/>
      <c r="Q51" s="8">
        <f ca="1">Q50/K43</f>
        <v>306.1536111111111</v>
      </c>
      <c r="S51" s="23">
        <v>10</v>
      </c>
      <c r="V51" s="15">
        <v>6.99</v>
      </c>
      <c r="W51" s="2">
        <v>1</v>
      </c>
      <c r="X51" s="20">
        <v>85</v>
      </c>
      <c r="Z51" s="15">
        <v>6.99</v>
      </c>
      <c r="AA51" s="2">
        <v>2</v>
      </c>
      <c r="AB51" s="20">
        <v>93</v>
      </c>
      <c r="AD51" s="53" t="s">
        <v>148</v>
      </c>
      <c r="AE51" s="2">
        <v>-5</v>
      </c>
    </row>
    <row r="52" spans="1:35" ht="14.45" hidden="1" customHeight="1">
      <c r="A52" s="143" t="s">
        <v>21</v>
      </c>
      <c r="B52" s="144"/>
      <c r="C52" s="144"/>
      <c r="D52" s="144"/>
      <c r="E52" s="144"/>
      <c r="F52" s="144"/>
      <c r="G52" s="144"/>
      <c r="H52" s="144"/>
      <c r="I52" s="144"/>
      <c r="J52" s="145"/>
      <c r="K52" s="24"/>
      <c r="L52" s="25"/>
      <c r="M52" s="25"/>
      <c r="N52" s="168">
        <f ca="1">ROUND($N$51/$K$43*($N$42*$N$45/100+1),2)</f>
        <v>306.14999999999998</v>
      </c>
      <c r="O52" s="168"/>
      <c r="S52" s="13"/>
      <c r="V52" s="15">
        <v>7.99</v>
      </c>
      <c r="W52" s="2">
        <v>1</v>
      </c>
      <c r="X52" s="2">
        <v>80</v>
      </c>
      <c r="Z52" s="15">
        <v>7.99</v>
      </c>
      <c r="AA52" s="2">
        <v>1</v>
      </c>
      <c r="AB52" s="20">
        <v>75</v>
      </c>
      <c r="AD52" s="53" t="s">
        <v>149</v>
      </c>
      <c r="AE52" s="2">
        <v>1</v>
      </c>
    </row>
    <row r="53" spans="1:35" ht="14.45" hidden="1" customHeight="1">
      <c r="A53" s="143" t="s">
        <v>95</v>
      </c>
      <c r="B53" s="144"/>
      <c r="C53" s="144"/>
      <c r="D53" s="144"/>
      <c r="E53" s="144"/>
      <c r="F53" s="144"/>
      <c r="G53" s="144"/>
      <c r="H53" s="144"/>
      <c r="I53" s="144"/>
      <c r="J53" s="145"/>
      <c r="K53" s="24"/>
      <c r="L53" s="25"/>
      <c r="M53" s="25"/>
      <c r="N53" s="168">
        <f ca="1">ROUND(N52*2.12%,2)</f>
        <v>6.49</v>
      </c>
      <c r="O53" s="168"/>
      <c r="S53" s="13"/>
      <c r="V53" s="15">
        <v>9.99</v>
      </c>
      <c r="W53" s="2">
        <v>1</v>
      </c>
      <c r="X53" s="20">
        <v>78</v>
      </c>
      <c r="Z53" s="15">
        <v>8.99</v>
      </c>
      <c r="AA53" s="2">
        <v>2</v>
      </c>
      <c r="AB53" s="20">
        <v>81</v>
      </c>
      <c r="AD53" s="53" t="s">
        <v>150</v>
      </c>
      <c r="AE53" s="2">
        <v>5</v>
      </c>
    </row>
    <row r="54" spans="1:35" ht="14.45" customHeight="1">
      <c r="A54" s="103" t="s">
        <v>21</v>
      </c>
      <c r="B54" s="104"/>
      <c r="C54" s="104"/>
      <c r="D54" s="104"/>
      <c r="E54" s="104"/>
      <c r="F54" s="104"/>
      <c r="G54" s="104"/>
      <c r="H54" s="104"/>
      <c r="I54" s="104"/>
      <c r="J54" s="105"/>
      <c r="K54" s="173"/>
      <c r="L54" s="174"/>
      <c r="M54" s="174"/>
      <c r="N54" s="167">
        <f ca="1">N52+N53</f>
        <v>312.64</v>
      </c>
      <c r="O54" s="167"/>
      <c r="Q54" s="15">
        <f>80*1.06</f>
        <v>84.800000000000011</v>
      </c>
      <c r="S54" s="13"/>
      <c r="V54" s="15">
        <v>6.5</v>
      </c>
      <c r="W54" s="2">
        <v>1</v>
      </c>
      <c r="X54" s="40">
        <v>90</v>
      </c>
      <c r="Z54" s="15">
        <v>9.8800000000000008</v>
      </c>
      <c r="AA54" s="2">
        <v>1</v>
      </c>
      <c r="AB54" s="20">
        <v>70</v>
      </c>
      <c r="AD54" s="53" t="s">
        <v>151</v>
      </c>
      <c r="AE54" s="2">
        <v>4</v>
      </c>
    </row>
    <row r="55" spans="1:35" ht="14.45" customHeight="1">
      <c r="A55" s="47" t="s">
        <v>75</v>
      </c>
      <c r="B55" s="48"/>
      <c r="C55" s="48"/>
      <c r="D55" s="48"/>
      <c r="E55" s="48"/>
      <c r="F55" s="48"/>
      <c r="G55" s="48"/>
      <c r="H55" s="48"/>
      <c r="I55" s="43"/>
      <c r="J55" s="37">
        <f>IF(Y16="TRUE",VLOOKUP(N45,Y11:Z13,2,0),IF(N45=9.99,IF(Y20="TRUE",75,VLOOKUP(N45,V51:X55,3,0)),VLOOKUP(N45,V51:X55,3,0)))</f>
        <v>80</v>
      </c>
      <c r="K55" s="173"/>
      <c r="L55" s="174"/>
      <c r="M55" s="174"/>
      <c r="N55" s="167">
        <f ca="1">$N$51*$J$55/100</f>
        <v>11920</v>
      </c>
      <c r="O55" s="167"/>
      <c r="S55" s="13"/>
      <c r="V55" s="15">
        <v>8.99</v>
      </c>
      <c r="W55" s="2">
        <v>1</v>
      </c>
      <c r="X55" s="41">
        <v>79</v>
      </c>
      <c r="Z55" s="2">
        <v>9.99</v>
      </c>
      <c r="AA55" s="2">
        <v>2</v>
      </c>
      <c r="AB55" s="2">
        <v>71</v>
      </c>
      <c r="AD55" s="53" t="s">
        <v>152</v>
      </c>
      <c r="AE55" s="2">
        <v>-1</v>
      </c>
    </row>
    <row r="56" spans="1:35" ht="14.45" customHeight="1">
      <c r="A56" s="103" t="s">
        <v>40</v>
      </c>
      <c r="B56" s="104"/>
      <c r="C56" s="104"/>
      <c r="D56" s="104"/>
      <c r="E56" s="104"/>
      <c r="F56" s="104"/>
      <c r="G56" s="104"/>
      <c r="H56" s="104"/>
      <c r="I56" s="104"/>
      <c r="J56" s="105"/>
      <c r="K56" s="173"/>
      <c r="L56" s="174"/>
      <c r="M56" s="174"/>
      <c r="N56" s="167">
        <f ca="1">ROUNDUP($N$51/1000,0)*5+10</f>
        <v>85</v>
      </c>
      <c r="O56" s="167"/>
      <c r="S56" s="13"/>
      <c r="V56" s="15"/>
      <c r="X56" s="20"/>
      <c r="Z56" s="15">
        <v>10</v>
      </c>
      <c r="AA56" s="2">
        <v>2</v>
      </c>
      <c r="AB56" s="21">
        <v>71</v>
      </c>
      <c r="AD56" s="53" t="s">
        <v>153</v>
      </c>
      <c r="AE56" s="2">
        <v>-3</v>
      </c>
    </row>
    <row r="57" spans="1:35" ht="14.45" customHeight="1">
      <c r="A57" s="146" t="s">
        <v>77</v>
      </c>
      <c r="B57" s="147"/>
      <c r="C57" s="147"/>
      <c r="D57" s="147"/>
      <c r="E57" s="147"/>
      <c r="F57" s="147"/>
      <c r="G57" s="147"/>
      <c r="H57" s="147"/>
      <c r="I57" s="147"/>
      <c r="J57" s="148"/>
      <c r="K57" s="173"/>
      <c r="L57" s="174"/>
      <c r="M57" s="174"/>
      <c r="N57" s="167">
        <f>IF($J$38=$Q$31,$Q$33,IF($J$38=$R$31,$R$33))</f>
        <v>0</v>
      </c>
      <c r="O57" s="167"/>
      <c r="Q57" s="2">
        <v>1</v>
      </c>
      <c r="S57" s="13"/>
      <c r="V57" s="36">
        <v>10</v>
      </c>
      <c r="W57" s="36">
        <v>2</v>
      </c>
      <c r="Z57" s="36">
        <v>11</v>
      </c>
      <c r="AA57" s="36">
        <v>2</v>
      </c>
      <c r="AD57" s="53" t="s">
        <v>154</v>
      </c>
      <c r="AE57" s="2">
        <v>-2</v>
      </c>
    </row>
    <row r="58" spans="1:35" ht="14.45" customHeight="1">
      <c r="A58" s="170" t="s">
        <v>97</v>
      </c>
      <c r="B58" s="171"/>
      <c r="C58" s="171"/>
      <c r="D58" s="171"/>
      <c r="E58" s="171"/>
      <c r="F58" s="171"/>
      <c r="G58" s="171"/>
      <c r="H58" s="171"/>
      <c r="I58" s="171"/>
      <c r="J58" s="172"/>
      <c r="K58" s="173"/>
      <c r="L58" s="174"/>
      <c r="M58" s="174"/>
      <c r="N58" s="167">
        <f ca="1">($N$51-N55)*6%-IF(J2=R2,I51*0.003,I51*0.0018)</f>
        <v>151.97999999999999</v>
      </c>
      <c r="O58" s="167"/>
      <c r="Q58" s="2">
        <v>3</v>
      </c>
      <c r="S58" s="13"/>
      <c r="AD58" s="53" t="s">
        <v>155</v>
      </c>
      <c r="AE58" s="2">
        <v>0</v>
      </c>
    </row>
    <row r="59" spans="1:35" ht="14.45" customHeight="1">
      <c r="A59" s="103" t="s">
        <v>96</v>
      </c>
      <c r="B59" s="104"/>
      <c r="C59" s="104"/>
      <c r="D59" s="104"/>
      <c r="E59" s="104"/>
      <c r="F59" s="104"/>
      <c r="G59" s="104"/>
      <c r="H59" s="104"/>
      <c r="I59" s="104"/>
      <c r="J59" s="105"/>
      <c r="K59" s="173"/>
      <c r="L59" s="174"/>
      <c r="M59" s="174"/>
      <c r="N59" s="167">
        <f ca="1">IF($N$51&gt;0,$Q$54,0)</f>
        <v>84.800000000000011</v>
      </c>
      <c r="O59" s="167"/>
      <c r="S59" s="13"/>
    </row>
    <row r="60" spans="1:35" ht="14.25" customHeight="1">
      <c r="A60" s="103" t="s">
        <v>41</v>
      </c>
      <c r="B60" s="104"/>
      <c r="C60" s="104"/>
      <c r="D60" s="104"/>
      <c r="E60" s="104"/>
      <c r="F60" s="104"/>
      <c r="G60" s="104"/>
      <c r="H60" s="104"/>
      <c r="I60" s="104"/>
      <c r="J60" s="105"/>
      <c r="K60" s="173"/>
      <c r="L60" s="174"/>
      <c r="M60" s="174"/>
      <c r="N60" s="167">
        <f>IF($L$31&gt;0,53,0)</f>
        <v>0</v>
      </c>
      <c r="O60" s="167"/>
      <c r="P60" s="6"/>
      <c r="Q60" s="5"/>
      <c r="S60" s="13"/>
    </row>
    <row r="61" spans="1:35" ht="14.25" customHeight="1">
      <c r="A61" s="103" t="s">
        <v>42</v>
      </c>
      <c r="B61" s="104"/>
      <c r="C61" s="104"/>
      <c r="D61" s="104"/>
      <c r="E61" s="104"/>
      <c r="F61" s="104"/>
      <c r="G61" s="104"/>
      <c r="H61" s="104"/>
      <c r="I61" s="105"/>
      <c r="J61" s="42">
        <f>IF(Y16="TRUE",3,1)</f>
        <v>1</v>
      </c>
      <c r="K61" s="173"/>
      <c r="L61" s="174"/>
      <c r="M61" s="174"/>
      <c r="N61" s="167">
        <f ca="1">N52*$J$61</f>
        <v>306.14999999999998</v>
      </c>
      <c r="O61" s="167"/>
      <c r="Q61" s="5"/>
      <c r="S61" s="13"/>
      <c r="V61" s="36" t="s">
        <v>94</v>
      </c>
      <c r="AD61" s="2" t="s">
        <v>156</v>
      </c>
    </row>
    <row r="62" spans="1:35" s="5" customFormat="1" ht="14.25" customHeight="1">
      <c r="A62" s="122" t="s">
        <v>24</v>
      </c>
      <c r="B62" s="123"/>
      <c r="C62" s="123"/>
      <c r="D62" s="123"/>
      <c r="E62" s="123"/>
      <c r="F62" s="123"/>
      <c r="G62" s="123"/>
      <c r="H62" s="123"/>
      <c r="I62" s="123"/>
      <c r="J62" s="124"/>
      <c r="K62" s="130"/>
      <c r="L62" s="131"/>
      <c r="M62" s="131"/>
      <c r="N62" s="180">
        <f ca="1">N55-N56-N57-N58-N59-N60-N61</f>
        <v>11292.070000000002</v>
      </c>
      <c r="O62" s="180"/>
      <c r="S62" s="13"/>
      <c r="U62" s="2"/>
      <c r="V62" s="2"/>
      <c r="W62" s="2"/>
      <c r="X62" s="2"/>
      <c r="Y62" s="2"/>
      <c r="Z62" s="2"/>
      <c r="AA62" s="2"/>
      <c r="AB62" s="2"/>
      <c r="AD62" s="5" t="s">
        <v>157</v>
      </c>
      <c r="AF62" s="2"/>
      <c r="AG62" s="2"/>
      <c r="AH62" s="2"/>
      <c r="AI62" s="2"/>
    </row>
    <row r="63" spans="1:35" s="5" customFormat="1" ht="14.25" customHeight="1">
      <c r="A63" s="103" t="s">
        <v>47</v>
      </c>
      <c r="B63" s="104"/>
      <c r="C63" s="104"/>
      <c r="D63" s="104"/>
      <c r="E63" s="104"/>
      <c r="F63" s="104"/>
      <c r="G63" s="104"/>
      <c r="H63" s="104"/>
      <c r="I63" s="104"/>
      <c r="J63" s="105"/>
      <c r="K63" s="173"/>
      <c r="L63" s="174"/>
      <c r="M63" s="174"/>
      <c r="N63" s="167">
        <f>$J$31</f>
        <v>0</v>
      </c>
      <c r="O63" s="167"/>
      <c r="U63" s="2"/>
      <c r="V63" s="2"/>
      <c r="W63" s="2"/>
      <c r="X63" s="2"/>
      <c r="Y63" s="2"/>
      <c r="Z63" s="2"/>
      <c r="AA63" s="2"/>
      <c r="AB63" s="2"/>
      <c r="AD63" s="5" t="s">
        <v>158</v>
      </c>
    </row>
    <row r="64" spans="1:35" s="5" customFormat="1" ht="12.75">
      <c r="A64" s="190" t="s">
        <v>25</v>
      </c>
      <c r="B64" s="191"/>
      <c r="C64" s="191"/>
      <c r="D64" s="191"/>
      <c r="E64" s="191"/>
      <c r="F64" s="191"/>
      <c r="G64" s="191"/>
      <c r="H64" s="191"/>
      <c r="I64" s="191"/>
      <c r="J64" s="192"/>
      <c r="K64" s="194"/>
      <c r="L64" s="195"/>
      <c r="M64" s="195"/>
      <c r="N64" s="213">
        <f ca="1">N62-N63</f>
        <v>11292.070000000002</v>
      </c>
      <c r="O64" s="213"/>
      <c r="U64" s="2"/>
      <c r="V64" s="2"/>
      <c r="W64" s="2"/>
      <c r="Z64" s="2"/>
      <c r="AA64" s="2"/>
      <c r="AB64" s="2"/>
      <c r="AD64" s="5" t="s">
        <v>159</v>
      </c>
    </row>
    <row r="65" spans="1:35" s="5" customFormat="1" ht="14.25" hidden="1" customHeight="1">
      <c r="A65" s="169"/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93"/>
      <c r="U65" s="2"/>
    </row>
    <row r="66" spans="1:35" s="5" customFormat="1" ht="14.25" customHeight="1">
      <c r="A66" s="9" t="s">
        <v>19</v>
      </c>
      <c r="B66" s="9"/>
      <c r="C66" s="9"/>
      <c r="D66" s="9"/>
      <c r="E66" s="9"/>
      <c r="F66" s="9"/>
      <c r="G66" s="9"/>
      <c r="H66" s="9"/>
      <c r="I66" s="10"/>
      <c r="J66" s="10"/>
      <c r="K66" s="28"/>
      <c r="L66" s="10"/>
      <c r="M66" s="10"/>
      <c r="N66" s="10"/>
      <c r="U66" s="2"/>
    </row>
    <row r="67" spans="1:35" s="5" customFormat="1" ht="14.25" customHeight="1">
      <c r="A67" s="9" t="s">
        <v>222</v>
      </c>
      <c r="B67" s="9"/>
      <c r="C67" s="9"/>
      <c r="D67" s="9"/>
      <c r="E67" s="9"/>
      <c r="F67" s="9"/>
      <c r="G67" s="9"/>
      <c r="H67" s="9"/>
      <c r="I67" s="10"/>
      <c r="J67" s="10"/>
      <c r="K67" s="10"/>
      <c r="L67" s="10"/>
      <c r="M67" s="10"/>
      <c r="N67" s="10"/>
      <c r="U67" s="2"/>
    </row>
    <row r="68" spans="1:35" s="5" customFormat="1" ht="14.25" customHeight="1">
      <c r="A68" s="9" t="s">
        <v>223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1:35" s="5" customFormat="1" ht="14.25" hidden="1" customHeight="1">
      <c r="A69" s="9"/>
      <c r="Q69" s="2"/>
    </row>
    <row r="70" spans="1:35" s="5" customFormat="1" ht="14.25" customHeight="1">
      <c r="A70" s="32" t="s">
        <v>91</v>
      </c>
      <c r="B70" s="189"/>
      <c r="C70" s="189"/>
      <c r="D70" s="189"/>
      <c r="E70" s="189"/>
      <c r="F70" s="189"/>
      <c r="G70" s="189"/>
      <c r="H70" s="189"/>
      <c r="I70" s="189"/>
      <c r="J70" s="33"/>
      <c r="K70" s="34" t="s">
        <v>92</v>
      </c>
      <c r="L70" s="46"/>
      <c r="M70" s="46"/>
      <c r="N70" s="46"/>
      <c r="O70" s="60"/>
      <c r="Q70" s="2"/>
      <c r="S70" s="2"/>
    </row>
    <row r="71" spans="1:35" ht="14.25" customHeight="1">
      <c r="A71" s="175" t="s">
        <v>93</v>
      </c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7"/>
      <c r="P71" s="31"/>
      <c r="U71" s="5"/>
      <c r="V71" s="5"/>
      <c r="W71" s="5"/>
      <c r="X71" s="5"/>
      <c r="Y71" s="5"/>
      <c r="Z71" s="5"/>
      <c r="AA71" s="5"/>
      <c r="AB71" s="5"/>
      <c r="AF71" s="5"/>
      <c r="AG71" s="5"/>
      <c r="AH71" s="5"/>
      <c r="AI71" s="5"/>
    </row>
    <row r="72" spans="1:35" ht="14.25" customHeight="1">
      <c r="A72" s="214"/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6"/>
      <c r="P72" s="31"/>
      <c r="U72" s="5"/>
      <c r="V72" s="5"/>
      <c r="W72" s="5"/>
      <c r="X72" s="5"/>
      <c r="Y72" s="5"/>
      <c r="Z72" s="5"/>
      <c r="AA72" s="5"/>
      <c r="AB72" s="5"/>
    </row>
    <row r="73" spans="1:35" ht="14.25" customHeight="1">
      <c r="A73" s="214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6"/>
      <c r="U73" s="5"/>
      <c r="V73" s="5"/>
      <c r="W73" s="5"/>
      <c r="Z73" s="5"/>
      <c r="AA73" s="5"/>
      <c r="AB73" s="5"/>
    </row>
    <row r="74" spans="1:35" ht="14.25" customHeight="1">
      <c r="A74" s="214"/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6"/>
      <c r="U74" s="5"/>
    </row>
    <row r="75" spans="1:35" ht="14.25" customHeight="1">
      <c r="A75" s="217"/>
      <c r="B75" s="218"/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  <c r="O75" s="219"/>
      <c r="U75" s="5"/>
    </row>
    <row r="76" spans="1:35" ht="14.25" customHeight="1">
      <c r="A76" s="30" t="s">
        <v>221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U76" s="5"/>
    </row>
    <row r="77" spans="1:35" ht="14.25" hidden="1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</row>
    <row r="78" spans="1:35" ht="14.25" hidden="1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1:35" ht="14.25" hidden="1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1:35" ht="14.25" hidden="1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1:14" ht="14.25" hidden="1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</row>
    <row r="82" spans="1:14" ht="14.25" hidden="1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</row>
    <row r="83" spans="1:14" ht="14.25" hidden="1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</row>
    <row r="84" spans="1:14" ht="14.25" hidden="1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1:14" ht="14.25" hidden="1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 ht="14.25" hidden="1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1:14" ht="14.25" hidden="1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1:14" ht="14.25" hidden="1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1:14" ht="14.25" hidden="1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1:14" ht="14.25" hidden="1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  <row r="91" spans="1:14" ht="14.25" hidden="1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</row>
    <row r="92" spans="1:14" ht="12.75" hidden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</row>
    <row r="93" spans="1:14" ht="12.75" hidden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</row>
    <row r="94" spans="1:14" ht="12.75" hidden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</row>
    <row r="95" spans="1:14" ht="12.75" hidden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</row>
    <row r="96" spans="1:14" ht="12.75" hidden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</row>
  </sheetData>
  <sheetProtection password="C16E" sheet="1" objects="1" scenarios="1" selectLockedCells="1"/>
  <mergeCells count="157">
    <mergeCell ref="N60:O60"/>
    <mergeCell ref="N61:O61"/>
    <mergeCell ref="N62:O62"/>
    <mergeCell ref="N63:O63"/>
    <mergeCell ref="N64:O64"/>
    <mergeCell ref="A72:O75"/>
    <mergeCell ref="J2:O2"/>
    <mergeCell ref="K35:K37"/>
    <mergeCell ref="N35:N37"/>
    <mergeCell ref="A35:H35"/>
    <mergeCell ref="A36:H36"/>
    <mergeCell ref="A37:H37"/>
    <mergeCell ref="I35:J35"/>
    <mergeCell ref="I36:J36"/>
    <mergeCell ref="I37:J37"/>
    <mergeCell ref="L31:O31"/>
    <mergeCell ref="L32:O32"/>
    <mergeCell ref="N38:O38"/>
    <mergeCell ref="N39:O39"/>
    <mergeCell ref="N40:O40"/>
    <mergeCell ref="K41:O41"/>
    <mergeCell ref="N42:O42"/>
    <mergeCell ref="K43:O43"/>
    <mergeCell ref="K44:O44"/>
    <mergeCell ref="L36:M36"/>
    <mergeCell ref="L35:M35"/>
    <mergeCell ref="L37:M37"/>
    <mergeCell ref="K5:O5"/>
    <mergeCell ref="L6:O6"/>
    <mergeCell ref="L7:O7"/>
    <mergeCell ref="L8:O8"/>
    <mergeCell ref="L9:O9"/>
    <mergeCell ref="L10:O10"/>
    <mergeCell ref="L11:O11"/>
    <mergeCell ref="L12:O13"/>
    <mergeCell ref="K16:O16"/>
    <mergeCell ref="K17:O17"/>
    <mergeCell ref="N18:O18"/>
    <mergeCell ref="N20:O20"/>
    <mergeCell ref="N21:O21"/>
    <mergeCell ref="N22:O22"/>
    <mergeCell ref="N23:O23"/>
    <mergeCell ref="L25:O25"/>
    <mergeCell ref="L26:O26"/>
    <mergeCell ref="L27:O27"/>
    <mergeCell ref="A34:O34"/>
    <mergeCell ref="A31:I31"/>
    <mergeCell ref="J31:K31"/>
    <mergeCell ref="A71:O71"/>
    <mergeCell ref="N45:O45"/>
    <mergeCell ref="K46:O46"/>
    <mergeCell ref="N47:O47"/>
    <mergeCell ref="A4:O4"/>
    <mergeCell ref="B13:C13"/>
    <mergeCell ref="D13:J13"/>
    <mergeCell ref="B10:J10"/>
    <mergeCell ref="K12:K13"/>
    <mergeCell ref="A14:O14"/>
    <mergeCell ref="A15:O15"/>
    <mergeCell ref="A19:O19"/>
    <mergeCell ref="B70:I70"/>
    <mergeCell ref="A63:J63"/>
    <mergeCell ref="A64:J64"/>
    <mergeCell ref="K65:N65"/>
    <mergeCell ref="A60:J60"/>
    <mergeCell ref="A61:I61"/>
    <mergeCell ref="A62:J62"/>
    <mergeCell ref="K64:M64"/>
    <mergeCell ref="K63:M63"/>
    <mergeCell ref="K62:M62"/>
    <mergeCell ref="K61:M61"/>
    <mergeCell ref="K60:M60"/>
    <mergeCell ref="A65:J65"/>
    <mergeCell ref="A58:J58"/>
    <mergeCell ref="A59:J59"/>
    <mergeCell ref="A54:J54"/>
    <mergeCell ref="A56:J56"/>
    <mergeCell ref="A57:J57"/>
    <mergeCell ref="K54:M54"/>
    <mergeCell ref="K59:M59"/>
    <mergeCell ref="K58:M58"/>
    <mergeCell ref="K57:M57"/>
    <mergeCell ref="K56:M56"/>
    <mergeCell ref="K55:M55"/>
    <mergeCell ref="N54:O54"/>
    <mergeCell ref="N55:O55"/>
    <mergeCell ref="N56:O56"/>
    <mergeCell ref="N57:O57"/>
    <mergeCell ref="N58:O58"/>
    <mergeCell ref="N59:O59"/>
    <mergeCell ref="A50:J50"/>
    <mergeCell ref="A52:J52"/>
    <mergeCell ref="A53:J53"/>
    <mergeCell ref="N52:O52"/>
    <mergeCell ref="N53:O53"/>
    <mergeCell ref="A45:J45"/>
    <mergeCell ref="A46:J46"/>
    <mergeCell ref="A47:J47"/>
    <mergeCell ref="K51:M51"/>
    <mergeCell ref="I51:J51"/>
    <mergeCell ref="B51:H51"/>
    <mergeCell ref="K47:M47"/>
    <mergeCell ref="A48:O48"/>
    <mergeCell ref="A49:O49"/>
    <mergeCell ref="K50:O50"/>
    <mergeCell ref="N51:O51"/>
    <mergeCell ref="A41:J41"/>
    <mergeCell ref="A43:J43"/>
    <mergeCell ref="A44:J44"/>
    <mergeCell ref="A39:J39"/>
    <mergeCell ref="A40:J40"/>
    <mergeCell ref="A38:I38"/>
    <mergeCell ref="K42:M42"/>
    <mergeCell ref="A42:H42"/>
    <mergeCell ref="K38:M38"/>
    <mergeCell ref="K39:M39"/>
    <mergeCell ref="K40:M40"/>
    <mergeCell ref="A32:K32"/>
    <mergeCell ref="A28:I28"/>
    <mergeCell ref="J28:K28"/>
    <mergeCell ref="A29:I29"/>
    <mergeCell ref="J29:K29"/>
    <mergeCell ref="A30:I30"/>
    <mergeCell ref="J30:K30"/>
    <mergeCell ref="A33:O33"/>
    <mergeCell ref="L28:O28"/>
    <mergeCell ref="L29:O29"/>
    <mergeCell ref="L30:O30"/>
    <mergeCell ref="A26:I26"/>
    <mergeCell ref="J26:K26"/>
    <mergeCell ref="A27:I27"/>
    <mergeCell ref="J27:K27"/>
    <mergeCell ref="A22:J22"/>
    <mergeCell ref="A23:J23"/>
    <mergeCell ref="A25:I25"/>
    <mergeCell ref="J25:K25"/>
    <mergeCell ref="K22:M22"/>
    <mergeCell ref="K23:M23"/>
    <mergeCell ref="A24:O24"/>
    <mergeCell ref="A20:I20"/>
    <mergeCell ref="A21:J21"/>
    <mergeCell ref="A16:J16"/>
    <mergeCell ref="A17:J17"/>
    <mergeCell ref="K18:M18"/>
    <mergeCell ref="K20:M20"/>
    <mergeCell ref="K21:M21"/>
    <mergeCell ref="D12:J12"/>
    <mergeCell ref="B12:C12"/>
    <mergeCell ref="B8:J8"/>
    <mergeCell ref="B7:J7"/>
    <mergeCell ref="A2:I2"/>
    <mergeCell ref="A5:J5"/>
    <mergeCell ref="B6:J6"/>
    <mergeCell ref="D11:J11"/>
    <mergeCell ref="B11:C11"/>
    <mergeCell ref="A18:J18"/>
    <mergeCell ref="C9:F9"/>
  </mergeCells>
  <dataValidations count="25">
    <dataValidation type="list" allowBlank="1" showInputMessage="1" showErrorMessage="1" sqref="J20">
      <formula1>$Q$18:$Q$19</formula1>
    </dataValidation>
    <dataValidation type="list" allowBlank="1" showInputMessage="1" showErrorMessage="1" sqref="J2">
      <formula1>$R$2:$R$3</formula1>
    </dataValidation>
    <dataValidation type="list" allowBlank="1" showInputMessage="1" showErrorMessage="1" sqref="J38">
      <formula1>$Q$31:$R$31</formula1>
    </dataValidation>
    <dataValidation type="list" allowBlank="1" showInputMessage="1" showErrorMessage="1" sqref="B11:C11 B13:C13">
      <formula1>$U$6:$U$19</formula1>
    </dataValidation>
    <dataValidation type="list" allowBlank="1" showInputMessage="1" showErrorMessage="1" sqref="B12:C12">
      <formula1>$W$6:$W$15</formula1>
    </dataValidation>
    <dataValidation type="decimal" allowBlank="1" showInputMessage="1" showErrorMessage="1" sqref="K16:N17">
      <formula1>0</formula1>
      <formula2>999999.99</formula2>
    </dataValidation>
    <dataValidation type="whole" allowBlank="1" showInputMessage="1" showErrorMessage="1" sqref="E11:J12 D11:D13">
      <formula1>0</formula1>
      <formula2>9999999999</formula2>
    </dataValidation>
    <dataValidation type="custom" allowBlank="1" showInputMessage="1" showErrorMessage="1" sqref="B6:J6 A26:I30 L6:N6">
      <formula1>ISTEXT(A6)</formula1>
    </dataValidation>
    <dataValidation type="whole" allowBlank="1" showInputMessage="1" showErrorMessage="1" sqref="B7:J7">
      <formula1>0</formula1>
      <formula2>999999999999</formula2>
    </dataValidation>
    <dataValidation type="decimal" operator="lessThanOrEqual" allowBlank="1" showInputMessage="1" showErrorMessage="1" error="Loan tenure should not exceed max tenure eligible" sqref="N42">
      <formula1>N41</formula1>
    </dataValidation>
    <dataValidation type="decimal" operator="greaterThanOrEqual" allowBlank="1" showInputMessage="1" showErrorMessage="1" error="Gross Income Less Than RM1500" sqref="K18 N18">
      <formula1>1500</formula1>
    </dataValidation>
    <dataValidation type="decimal" operator="greaterThanOrEqual" allowBlank="1" showInputMessage="1" showErrorMessage="1" error="Min customer age eligible is 20 and above" sqref="B9">
      <formula1>20</formula1>
    </dataValidation>
    <dataValidation type="decimal" allowBlank="1" showInputMessage="1" showErrorMessage="1" sqref="N21:N22 K21:K22 J26:L30 M26:N27 M29:N30">
      <formula1>0</formula1>
      <formula2>9999999</formula2>
    </dataValidation>
    <dataValidation type="list" allowBlank="1" showInputMessage="1" showErrorMessage="1" sqref="J42">
      <formula1>$S$33:$S$51</formula1>
    </dataValidation>
    <dataValidation type="list" allowBlank="1" showInputMessage="1" showErrorMessage="1" sqref="J61">
      <formula1>$Q$57:$Q$58</formula1>
    </dataValidation>
    <dataValidation type="list" allowBlank="1" showInputMessage="1" showErrorMessage="1" sqref="L11:N11">
      <formula1>$X$2:$X$12</formula1>
    </dataValidation>
    <dataValidation type="list" allowBlank="1" showInputMessage="1" showErrorMessage="1" sqref="J55">
      <formula1>$Z$2:$Z$27</formula1>
    </dataValidation>
    <dataValidation type="list" allowBlank="1" showInputMessage="1" showErrorMessage="1" sqref="N45">
      <formula1>$Y$3:$Y$7</formula1>
    </dataValidation>
    <dataValidation type="decimal" allowBlank="1" showInputMessage="1" showErrorMessage="1" sqref="J51">
      <formula1>2500</formula1>
      <formula2>O42</formula2>
    </dataValidation>
    <dataValidation type="decimal" allowBlank="1" showInputMessage="1" showErrorMessage="1" sqref="I51">
      <formula1>2500</formula1>
      <formula2>N47</formula2>
    </dataValidation>
    <dataValidation type="date" allowBlank="1" showInputMessage="1" showErrorMessage="1" sqref="L10:N10">
      <formula1>S15</formula1>
      <formula2>S16</formula2>
    </dataValidation>
    <dataValidation type="list" operator="greaterThanOrEqual" allowBlank="1" showInputMessage="1" showErrorMessage="1" error="Min customer age eligible is 20 and above" sqref="B10:J10">
      <formula1>$AD$3:$AD$6</formula1>
    </dataValidation>
    <dataValidation type="list" allowBlank="1" showInputMessage="1" showErrorMessage="1" sqref="L7:N7">
      <formula1>$AD$8:$AD$17</formula1>
    </dataValidation>
    <dataValidation type="list" allowBlank="1" showInputMessage="1" showErrorMessage="1" sqref="L8:N8">
      <formula1>$AD$21:$AD$58</formula1>
    </dataValidation>
    <dataValidation type="list" allowBlank="1" showInputMessage="1" showErrorMessage="1" sqref="L9:N9">
      <formula1>$AD$61:$AD$64</formula1>
    </dataValidation>
  </dataValidations>
  <pageMargins left="0.3" right="0.3" top="0" bottom="0" header="0" footer="0"/>
  <pageSetup paperSize="9" scale="9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Loan Eligible Calculation</vt:lpstr>
      <vt:lpstr>'Loan Eligible Calculation'!_19_04_1987</vt:lpstr>
      <vt:lpstr>'Loan Eligible Calculation'!Print_Area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jittee.goh</dc:creator>
  <cp:lastModifiedBy>User</cp:lastModifiedBy>
  <cp:lastPrinted>2020-07-02T02:26:47Z</cp:lastPrinted>
  <dcterms:created xsi:type="dcterms:W3CDTF">2010-12-13T06:19:56Z</dcterms:created>
  <dcterms:modified xsi:type="dcterms:W3CDTF">2020-08-28T06:34:04Z</dcterms:modified>
</cp:coreProperties>
</file>